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"/>
    </mc:Choice>
  </mc:AlternateContent>
  <xr:revisionPtr revIDLastSave="0" documentId="8_{C63BB4F1-7965-4C09-8DF7-31B3B331CB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9" i="3" l="1"/>
  <c r="C377" i="3"/>
  <c r="C381" i="3"/>
  <c r="DU393" i="3"/>
  <c r="DT393" i="3"/>
  <c r="DS393" i="3"/>
  <c r="DR393" i="3"/>
  <c r="DQ393" i="3"/>
  <c r="DP393" i="3"/>
  <c r="DO393" i="3"/>
  <c r="DN393" i="3"/>
  <c r="DM393" i="3"/>
  <c r="DL393" i="3"/>
  <c r="DK393" i="3"/>
  <c r="DJ393" i="3"/>
  <c r="DI393" i="3"/>
  <c r="DH393" i="3"/>
  <c r="DG393" i="3"/>
  <c r="DF393" i="3"/>
  <c r="DE393" i="3"/>
  <c r="DD393" i="3"/>
  <c r="DC393" i="3"/>
  <c r="DB393" i="3"/>
  <c r="DA393" i="3"/>
  <c r="CZ393" i="3"/>
  <c r="CY393" i="3"/>
  <c r="CX393" i="3"/>
  <c r="CW393" i="3"/>
  <c r="CV393" i="3"/>
  <c r="CU393" i="3"/>
  <c r="CT393" i="3"/>
  <c r="CS393" i="3"/>
  <c r="CR393" i="3"/>
  <c r="CQ393" i="3"/>
  <c r="CP393" i="3"/>
  <c r="CO393" i="3"/>
  <c r="CN393" i="3"/>
  <c r="CM393" i="3"/>
  <c r="CL393" i="3"/>
  <c r="CK393" i="3"/>
  <c r="CJ393" i="3"/>
  <c r="CI393" i="3"/>
  <c r="CH393" i="3"/>
  <c r="CG393" i="3"/>
  <c r="CF393" i="3"/>
  <c r="CE393" i="3"/>
  <c r="CD393" i="3"/>
  <c r="CC393" i="3"/>
  <c r="CB393" i="3"/>
  <c r="CA393" i="3"/>
  <c r="BZ393" i="3"/>
  <c r="BY393" i="3"/>
  <c r="BX393" i="3"/>
  <c r="BW393" i="3"/>
  <c r="BV393" i="3"/>
  <c r="BU393" i="3"/>
  <c r="BT393" i="3"/>
  <c r="BS393" i="3"/>
  <c r="BR393" i="3"/>
  <c r="BQ393" i="3"/>
  <c r="BP393" i="3"/>
  <c r="BO393" i="3"/>
  <c r="BN393" i="3"/>
  <c r="E393" i="3"/>
  <c r="D393" i="3"/>
  <c r="C393" i="3"/>
  <c r="B393" i="3"/>
  <c r="A393" i="3"/>
  <c r="DU392" i="3"/>
  <c r="DT392" i="3"/>
  <c r="DS392" i="3"/>
  <c r="DR392" i="3"/>
  <c r="DQ392" i="3"/>
  <c r="DP392" i="3"/>
  <c r="DO392" i="3"/>
  <c r="DN392" i="3"/>
  <c r="DM392" i="3"/>
  <c r="DL392" i="3"/>
  <c r="DK392" i="3"/>
  <c r="DJ392" i="3"/>
  <c r="DI392" i="3"/>
  <c r="DH392" i="3"/>
  <c r="DG392" i="3"/>
  <c r="DF392" i="3"/>
  <c r="DE392" i="3"/>
  <c r="DD392" i="3"/>
  <c r="DC392" i="3"/>
  <c r="DB392" i="3"/>
  <c r="DA392" i="3"/>
  <c r="CZ392" i="3"/>
  <c r="CY392" i="3"/>
  <c r="CX392" i="3"/>
  <c r="CW392" i="3"/>
  <c r="CV392" i="3"/>
  <c r="CU392" i="3"/>
  <c r="CT392" i="3"/>
  <c r="CS392" i="3"/>
  <c r="CR392" i="3"/>
  <c r="CQ392" i="3"/>
  <c r="CP392" i="3"/>
  <c r="CO392" i="3"/>
  <c r="CN392" i="3"/>
  <c r="CM392" i="3"/>
  <c r="CL392" i="3"/>
  <c r="CK392" i="3"/>
  <c r="CJ392" i="3"/>
  <c r="CI392" i="3"/>
  <c r="CH392" i="3"/>
  <c r="CG392" i="3"/>
  <c r="CF392" i="3"/>
  <c r="CE392" i="3"/>
  <c r="CD392" i="3"/>
  <c r="CC392" i="3"/>
  <c r="CB392" i="3"/>
  <c r="CA392" i="3"/>
  <c r="BZ392" i="3"/>
  <c r="BY392" i="3"/>
  <c r="BX392" i="3"/>
  <c r="BW392" i="3"/>
  <c r="BV392" i="3"/>
  <c r="BU392" i="3"/>
  <c r="BT392" i="3"/>
  <c r="BS392" i="3"/>
  <c r="BR392" i="3"/>
  <c r="BQ392" i="3"/>
  <c r="BP392" i="3"/>
  <c r="BO392" i="3"/>
  <c r="BN392" i="3"/>
  <c r="A392" i="3"/>
  <c r="DU391" i="3"/>
  <c r="DT391" i="3"/>
  <c r="DS391" i="3"/>
  <c r="DR391" i="3"/>
  <c r="DQ391" i="3"/>
  <c r="DP391" i="3"/>
  <c r="DO391" i="3"/>
  <c r="DN391" i="3"/>
  <c r="DM391" i="3"/>
  <c r="DL391" i="3"/>
  <c r="DK391" i="3"/>
  <c r="DJ391" i="3"/>
  <c r="DI391" i="3"/>
  <c r="DH391" i="3"/>
  <c r="DG391" i="3"/>
  <c r="DF391" i="3"/>
  <c r="DE391" i="3"/>
  <c r="DD391" i="3"/>
  <c r="DC391" i="3"/>
  <c r="DB391" i="3"/>
  <c r="DA391" i="3"/>
  <c r="CZ391" i="3"/>
  <c r="CY391" i="3"/>
  <c r="CX391" i="3"/>
  <c r="CW391" i="3"/>
  <c r="CV391" i="3"/>
  <c r="CU391" i="3"/>
  <c r="CT391" i="3"/>
  <c r="CS391" i="3"/>
  <c r="CR391" i="3"/>
  <c r="CQ391" i="3"/>
  <c r="CP391" i="3"/>
  <c r="CO391" i="3"/>
  <c r="CN391" i="3"/>
  <c r="CM391" i="3"/>
  <c r="CL391" i="3"/>
  <c r="CK391" i="3"/>
  <c r="CJ391" i="3"/>
  <c r="CI391" i="3"/>
  <c r="CH391" i="3"/>
  <c r="CG391" i="3"/>
  <c r="CF391" i="3"/>
  <c r="CE391" i="3"/>
  <c r="CD391" i="3"/>
  <c r="CC391" i="3"/>
  <c r="CB391" i="3"/>
  <c r="CA391" i="3"/>
  <c r="BZ391" i="3"/>
  <c r="BY391" i="3"/>
  <c r="BX391" i="3"/>
  <c r="BW391" i="3"/>
  <c r="BV391" i="3"/>
  <c r="BU391" i="3"/>
  <c r="BT391" i="3"/>
  <c r="BS391" i="3"/>
  <c r="BR391" i="3"/>
  <c r="BQ391" i="3"/>
  <c r="BP391" i="3"/>
  <c r="BO391" i="3"/>
  <c r="BN391" i="3"/>
  <c r="A391" i="3"/>
  <c r="DU390" i="3"/>
  <c r="DT390" i="3"/>
  <c r="DS390" i="3"/>
  <c r="DR390" i="3"/>
  <c r="DQ390" i="3"/>
  <c r="DP390" i="3"/>
  <c r="DO390" i="3"/>
  <c r="DN390" i="3"/>
  <c r="DM390" i="3"/>
  <c r="DL390" i="3"/>
  <c r="DK390" i="3"/>
  <c r="DJ390" i="3"/>
  <c r="DI390" i="3"/>
  <c r="DH390" i="3"/>
  <c r="DG390" i="3"/>
  <c r="DF390" i="3"/>
  <c r="DE390" i="3"/>
  <c r="DD390" i="3"/>
  <c r="DC390" i="3"/>
  <c r="DB390" i="3"/>
  <c r="DA390" i="3"/>
  <c r="CZ390" i="3"/>
  <c r="CY390" i="3"/>
  <c r="CX390" i="3"/>
  <c r="CW390" i="3"/>
  <c r="CV390" i="3"/>
  <c r="CU390" i="3"/>
  <c r="CT390" i="3"/>
  <c r="CS390" i="3"/>
  <c r="CR390" i="3"/>
  <c r="CQ390" i="3"/>
  <c r="CP390" i="3"/>
  <c r="CO390" i="3"/>
  <c r="CN390" i="3"/>
  <c r="CM390" i="3"/>
  <c r="CL390" i="3"/>
  <c r="CK390" i="3"/>
  <c r="CJ390" i="3"/>
  <c r="CI390" i="3"/>
  <c r="CH390" i="3"/>
  <c r="CG390" i="3"/>
  <c r="CF390" i="3"/>
  <c r="CE390" i="3"/>
  <c r="CD390" i="3"/>
  <c r="CC390" i="3"/>
  <c r="CB390" i="3"/>
  <c r="CA390" i="3"/>
  <c r="BZ390" i="3"/>
  <c r="BY390" i="3"/>
  <c r="BX390" i="3"/>
  <c r="BW390" i="3"/>
  <c r="BV390" i="3"/>
  <c r="BU390" i="3"/>
  <c r="BT390" i="3"/>
  <c r="BS390" i="3"/>
  <c r="BR390" i="3"/>
  <c r="BQ390" i="3"/>
  <c r="BP390" i="3"/>
  <c r="BO390" i="3"/>
  <c r="BN390" i="3"/>
  <c r="A390" i="3"/>
  <c r="DU389" i="3"/>
  <c r="DT389" i="3"/>
  <c r="DS389" i="3"/>
  <c r="DR389" i="3"/>
  <c r="DQ389" i="3"/>
  <c r="DP389" i="3"/>
  <c r="DO389" i="3"/>
  <c r="DN389" i="3"/>
  <c r="DM389" i="3"/>
  <c r="DL389" i="3"/>
  <c r="DK389" i="3"/>
  <c r="DJ389" i="3"/>
  <c r="DI389" i="3"/>
  <c r="DH389" i="3"/>
  <c r="DG389" i="3"/>
  <c r="DF389" i="3"/>
  <c r="DE389" i="3"/>
  <c r="DD389" i="3"/>
  <c r="DC389" i="3"/>
  <c r="DB389" i="3"/>
  <c r="DA389" i="3"/>
  <c r="CZ389" i="3"/>
  <c r="CY389" i="3"/>
  <c r="CX389" i="3"/>
  <c r="CW389" i="3"/>
  <c r="CV389" i="3"/>
  <c r="CU389" i="3"/>
  <c r="CT389" i="3"/>
  <c r="CS389" i="3"/>
  <c r="CR389" i="3"/>
  <c r="CQ389" i="3"/>
  <c r="CP389" i="3"/>
  <c r="CO389" i="3"/>
  <c r="CN389" i="3"/>
  <c r="CM389" i="3"/>
  <c r="CL389" i="3"/>
  <c r="CK389" i="3"/>
  <c r="CJ389" i="3"/>
  <c r="CI389" i="3"/>
  <c r="CH389" i="3"/>
  <c r="CG389" i="3"/>
  <c r="CF389" i="3"/>
  <c r="CE389" i="3"/>
  <c r="CD389" i="3"/>
  <c r="CC389" i="3"/>
  <c r="CB389" i="3"/>
  <c r="CA389" i="3"/>
  <c r="BZ389" i="3"/>
  <c r="BY389" i="3"/>
  <c r="BX389" i="3"/>
  <c r="BW389" i="3"/>
  <c r="BV389" i="3"/>
  <c r="BU389" i="3"/>
  <c r="BT389" i="3"/>
  <c r="BS389" i="3"/>
  <c r="BR389" i="3"/>
  <c r="BQ389" i="3"/>
  <c r="BP389" i="3"/>
  <c r="BO389" i="3"/>
  <c r="BN389" i="3"/>
  <c r="A389" i="3"/>
  <c r="DU388" i="3"/>
  <c r="DT388" i="3"/>
  <c r="DS388" i="3"/>
  <c r="DR388" i="3"/>
  <c r="DQ388" i="3"/>
  <c r="DP388" i="3"/>
  <c r="DO388" i="3"/>
  <c r="DN388" i="3"/>
  <c r="DM388" i="3"/>
  <c r="DL388" i="3"/>
  <c r="DK388" i="3"/>
  <c r="DJ388" i="3"/>
  <c r="DI388" i="3"/>
  <c r="DH388" i="3"/>
  <c r="DG388" i="3"/>
  <c r="DF388" i="3"/>
  <c r="DE388" i="3"/>
  <c r="DD388" i="3"/>
  <c r="DC388" i="3"/>
  <c r="DB388" i="3"/>
  <c r="DA388" i="3"/>
  <c r="CZ388" i="3"/>
  <c r="CY388" i="3"/>
  <c r="CX388" i="3"/>
  <c r="CW388" i="3"/>
  <c r="CV388" i="3"/>
  <c r="CU388" i="3"/>
  <c r="CT388" i="3"/>
  <c r="CS388" i="3"/>
  <c r="CR388" i="3"/>
  <c r="CQ388" i="3"/>
  <c r="CP388" i="3"/>
  <c r="CO388" i="3"/>
  <c r="CN388" i="3"/>
  <c r="CM388" i="3"/>
  <c r="CL388" i="3"/>
  <c r="CK388" i="3"/>
  <c r="CJ388" i="3"/>
  <c r="CI388" i="3"/>
  <c r="CH388" i="3"/>
  <c r="CG388" i="3"/>
  <c r="CF388" i="3"/>
  <c r="CE388" i="3"/>
  <c r="CD388" i="3"/>
  <c r="CC388" i="3"/>
  <c r="CB388" i="3"/>
  <c r="CA388" i="3"/>
  <c r="BZ388" i="3"/>
  <c r="BY388" i="3"/>
  <c r="BX388" i="3"/>
  <c r="BW388" i="3"/>
  <c r="BV388" i="3"/>
  <c r="BU388" i="3"/>
  <c r="BT388" i="3"/>
  <c r="BS388" i="3"/>
  <c r="BR388" i="3"/>
  <c r="BQ388" i="3"/>
  <c r="BP388" i="3"/>
  <c r="BO388" i="3"/>
  <c r="BN388" i="3"/>
  <c r="A388" i="3"/>
  <c r="DU387" i="3"/>
  <c r="DT387" i="3"/>
  <c r="DS387" i="3"/>
  <c r="DR387" i="3"/>
  <c r="DQ387" i="3"/>
  <c r="DP387" i="3"/>
  <c r="DO387" i="3"/>
  <c r="DN387" i="3"/>
  <c r="DM387" i="3"/>
  <c r="DL387" i="3"/>
  <c r="DK387" i="3"/>
  <c r="DJ387" i="3"/>
  <c r="DI387" i="3"/>
  <c r="DH387" i="3"/>
  <c r="DG387" i="3"/>
  <c r="DF387" i="3"/>
  <c r="DE387" i="3"/>
  <c r="DD387" i="3"/>
  <c r="DC387" i="3"/>
  <c r="DB387" i="3"/>
  <c r="DA387" i="3"/>
  <c r="CZ387" i="3"/>
  <c r="CY387" i="3"/>
  <c r="CX387" i="3"/>
  <c r="CW387" i="3"/>
  <c r="CV387" i="3"/>
  <c r="CU387" i="3"/>
  <c r="CT387" i="3"/>
  <c r="CS387" i="3"/>
  <c r="CR387" i="3"/>
  <c r="CQ387" i="3"/>
  <c r="CP387" i="3"/>
  <c r="CO387" i="3"/>
  <c r="CN387" i="3"/>
  <c r="CM387" i="3"/>
  <c r="CL387" i="3"/>
  <c r="CK387" i="3"/>
  <c r="CJ387" i="3"/>
  <c r="CI387" i="3"/>
  <c r="CH387" i="3"/>
  <c r="CG387" i="3"/>
  <c r="CF387" i="3"/>
  <c r="CE387" i="3"/>
  <c r="CD387" i="3"/>
  <c r="CC387" i="3"/>
  <c r="CB387" i="3"/>
  <c r="CA387" i="3"/>
  <c r="BZ387" i="3"/>
  <c r="BY387" i="3"/>
  <c r="BX387" i="3"/>
  <c r="BW387" i="3"/>
  <c r="BV387" i="3"/>
  <c r="BU387" i="3"/>
  <c r="BT387" i="3"/>
  <c r="BS387" i="3"/>
  <c r="BR387" i="3"/>
  <c r="BQ387" i="3"/>
  <c r="BP387" i="3"/>
  <c r="BO387" i="3"/>
  <c r="BN387" i="3"/>
  <c r="A387" i="3"/>
  <c r="DU386" i="3"/>
  <c r="DT386" i="3"/>
  <c r="DS386" i="3"/>
  <c r="DR386" i="3"/>
  <c r="DQ386" i="3"/>
  <c r="DP386" i="3"/>
  <c r="DO386" i="3"/>
  <c r="DN386" i="3"/>
  <c r="DM386" i="3"/>
  <c r="DL386" i="3"/>
  <c r="DK386" i="3"/>
  <c r="DJ386" i="3"/>
  <c r="DI386" i="3"/>
  <c r="DH386" i="3"/>
  <c r="DG386" i="3"/>
  <c r="DF386" i="3"/>
  <c r="DE386" i="3"/>
  <c r="DD386" i="3"/>
  <c r="DC386" i="3"/>
  <c r="DB386" i="3"/>
  <c r="DA386" i="3"/>
  <c r="CZ386" i="3"/>
  <c r="CY386" i="3"/>
  <c r="CX386" i="3"/>
  <c r="CW386" i="3"/>
  <c r="CV386" i="3"/>
  <c r="CU386" i="3"/>
  <c r="CT386" i="3"/>
  <c r="CS386" i="3"/>
  <c r="CR386" i="3"/>
  <c r="CQ386" i="3"/>
  <c r="CP386" i="3"/>
  <c r="CO386" i="3"/>
  <c r="CN386" i="3"/>
  <c r="CM386" i="3"/>
  <c r="CL386" i="3"/>
  <c r="CK386" i="3"/>
  <c r="CJ386" i="3"/>
  <c r="CI386" i="3"/>
  <c r="CH386" i="3"/>
  <c r="CG386" i="3"/>
  <c r="CF386" i="3"/>
  <c r="CE386" i="3"/>
  <c r="CD386" i="3"/>
  <c r="CC386" i="3"/>
  <c r="CB386" i="3"/>
  <c r="CA386" i="3"/>
  <c r="BZ386" i="3"/>
  <c r="BY386" i="3"/>
  <c r="BX386" i="3"/>
  <c r="BW386" i="3"/>
  <c r="BV386" i="3"/>
  <c r="BU386" i="3"/>
  <c r="BT386" i="3"/>
  <c r="BS386" i="3"/>
  <c r="BR386" i="3"/>
  <c r="BQ386" i="3"/>
  <c r="BP386" i="3"/>
  <c r="BO386" i="3"/>
  <c r="BN386" i="3"/>
  <c r="A386" i="3"/>
  <c r="DU385" i="3"/>
  <c r="DT385" i="3"/>
  <c r="DS385" i="3"/>
  <c r="DR385" i="3"/>
  <c r="DQ385" i="3"/>
  <c r="DP385" i="3"/>
  <c r="DO385" i="3"/>
  <c r="DN385" i="3"/>
  <c r="DM385" i="3"/>
  <c r="DL385" i="3"/>
  <c r="DK385" i="3"/>
  <c r="DJ385" i="3"/>
  <c r="DI385" i="3"/>
  <c r="DH385" i="3"/>
  <c r="DG385" i="3"/>
  <c r="DF385" i="3"/>
  <c r="DE385" i="3"/>
  <c r="DD385" i="3"/>
  <c r="DC385" i="3"/>
  <c r="DB385" i="3"/>
  <c r="DA385" i="3"/>
  <c r="CZ385" i="3"/>
  <c r="CY385" i="3"/>
  <c r="CX385" i="3"/>
  <c r="CW385" i="3"/>
  <c r="CV385" i="3"/>
  <c r="CU385" i="3"/>
  <c r="CT385" i="3"/>
  <c r="CS385" i="3"/>
  <c r="CR385" i="3"/>
  <c r="CQ385" i="3"/>
  <c r="CP385" i="3"/>
  <c r="CO385" i="3"/>
  <c r="CN385" i="3"/>
  <c r="CM385" i="3"/>
  <c r="CL385" i="3"/>
  <c r="CK385" i="3"/>
  <c r="CJ385" i="3"/>
  <c r="CI385" i="3"/>
  <c r="CH385" i="3"/>
  <c r="CG385" i="3"/>
  <c r="CF385" i="3"/>
  <c r="CE385" i="3"/>
  <c r="CD385" i="3"/>
  <c r="CC385" i="3"/>
  <c r="CB385" i="3"/>
  <c r="CA385" i="3"/>
  <c r="BZ385" i="3"/>
  <c r="BY385" i="3"/>
  <c r="BX385" i="3"/>
  <c r="BW385" i="3"/>
  <c r="BV385" i="3"/>
  <c r="BU385" i="3"/>
  <c r="BT385" i="3"/>
  <c r="BS385" i="3"/>
  <c r="BR385" i="3"/>
  <c r="BQ385" i="3"/>
  <c r="BP385" i="3"/>
  <c r="BO385" i="3"/>
  <c r="BN385" i="3"/>
  <c r="A385" i="3"/>
  <c r="DU384" i="3"/>
  <c r="DT384" i="3"/>
  <c r="DS384" i="3"/>
  <c r="DR384" i="3"/>
  <c r="DQ384" i="3"/>
  <c r="DP384" i="3"/>
  <c r="DO384" i="3"/>
  <c r="DN384" i="3"/>
  <c r="DM384" i="3"/>
  <c r="DL384" i="3"/>
  <c r="DK384" i="3"/>
  <c r="DJ384" i="3"/>
  <c r="DI384" i="3"/>
  <c r="DH384" i="3"/>
  <c r="DG384" i="3"/>
  <c r="DF384" i="3"/>
  <c r="DE384" i="3"/>
  <c r="DD384" i="3"/>
  <c r="DC384" i="3"/>
  <c r="DB384" i="3"/>
  <c r="DA384" i="3"/>
  <c r="CZ384" i="3"/>
  <c r="CY384" i="3"/>
  <c r="CX384" i="3"/>
  <c r="CW384" i="3"/>
  <c r="CV384" i="3"/>
  <c r="CU384" i="3"/>
  <c r="CT384" i="3"/>
  <c r="CS384" i="3"/>
  <c r="CR384" i="3"/>
  <c r="CQ384" i="3"/>
  <c r="CP384" i="3"/>
  <c r="CO384" i="3"/>
  <c r="CN384" i="3"/>
  <c r="CM384" i="3"/>
  <c r="CL384" i="3"/>
  <c r="CK384" i="3"/>
  <c r="CJ384" i="3"/>
  <c r="CI384" i="3"/>
  <c r="CH384" i="3"/>
  <c r="CG384" i="3"/>
  <c r="CF384" i="3"/>
  <c r="CE384" i="3"/>
  <c r="CD384" i="3"/>
  <c r="CC384" i="3"/>
  <c r="CB384" i="3"/>
  <c r="CA384" i="3"/>
  <c r="BZ384" i="3"/>
  <c r="BY384" i="3"/>
  <c r="BX384" i="3"/>
  <c r="BW384" i="3"/>
  <c r="BV384" i="3"/>
  <c r="BU384" i="3"/>
  <c r="BT384" i="3"/>
  <c r="BS384" i="3"/>
  <c r="BR384" i="3"/>
  <c r="BQ384" i="3"/>
  <c r="BP384" i="3"/>
  <c r="BO384" i="3"/>
  <c r="BN384" i="3"/>
  <c r="A384" i="3"/>
  <c r="DU383" i="3"/>
  <c r="DT383" i="3"/>
  <c r="DS383" i="3"/>
  <c r="DR383" i="3"/>
  <c r="DQ383" i="3"/>
  <c r="DP383" i="3"/>
  <c r="DO383" i="3"/>
  <c r="DN383" i="3"/>
  <c r="DM383" i="3"/>
  <c r="DL383" i="3"/>
  <c r="DK383" i="3"/>
  <c r="DJ383" i="3"/>
  <c r="DI383" i="3"/>
  <c r="DH383" i="3"/>
  <c r="DG383" i="3"/>
  <c r="DF383" i="3"/>
  <c r="DE383" i="3"/>
  <c r="DD383" i="3"/>
  <c r="DC383" i="3"/>
  <c r="DB383" i="3"/>
  <c r="DA383" i="3"/>
  <c r="CZ383" i="3"/>
  <c r="CY383" i="3"/>
  <c r="CX383" i="3"/>
  <c r="CW383" i="3"/>
  <c r="CV383" i="3"/>
  <c r="CU383" i="3"/>
  <c r="CT383" i="3"/>
  <c r="CS383" i="3"/>
  <c r="CR383" i="3"/>
  <c r="CQ383" i="3"/>
  <c r="CP383" i="3"/>
  <c r="CO383" i="3"/>
  <c r="CN383" i="3"/>
  <c r="CM383" i="3"/>
  <c r="CL383" i="3"/>
  <c r="CK383" i="3"/>
  <c r="CJ383" i="3"/>
  <c r="CI383" i="3"/>
  <c r="CH383" i="3"/>
  <c r="CG383" i="3"/>
  <c r="CF383" i="3"/>
  <c r="CE383" i="3"/>
  <c r="CD383" i="3"/>
  <c r="CC383" i="3"/>
  <c r="CB383" i="3"/>
  <c r="CA383" i="3"/>
  <c r="BZ383" i="3"/>
  <c r="BY383" i="3"/>
  <c r="BX383" i="3"/>
  <c r="BW383" i="3"/>
  <c r="BV383" i="3"/>
  <c r="BU383" i="3"/>
  <c r="BT383" i="3"/>
  <c r="BS383" i="3"/>
  <c r="BR383" i="3"/>
  <c r="BQ383" i="3"/>
  <c r="BP383" i="3"/>
  <c r="BO383" i="3"/>
  <c r="BN383" i="3"/>
  <c r="A383" i="3"/>
  <c r="DU382" i="3"/>
  <c r="DT382" i="3"/>
  <c r="DS382" i="3"/>
  <c r="DR382" i="3"/>
  <c r="DQ382" i="3"/>
  <c r="DP382" i="3"/>
  <c r="DO382" i="3"/>
  <c r="DN382" i="3"/>
  <c r="DM382" i="3"/>
  <c r="DL382" i="3"/>
  <c r="DK382" i="3"/>
  <c r="DJ382" i="3"/>
  <c r="DI382" i="3"/>
  <c r="DH382" i="3"/>
  <c r="DG382" i="3"/>
  <c r="DF382" i="3"/>
  <c r="DE382" i="3"/>
  <c r="DD382" i="3"/>
  <c r="DC382" i="3"/>
  <c r="DB382" i="3"/>
  <c r="DA382" i="3"/>
  <c r="CZ382" i="3"/>
  <c r="CY382" i="3"/>
  <c r="CX382" i="3"/>
  <c r="CW382" i="3"/>
  <c r="CV382" i="3"/>
  <c r="CU382" i="3"/>
  <c r="CT382" i="3"/>
  <c r="CS382" i="3"/>
  <c r="CR382" i="3"/>
  <c r="CQ382" i="3"/>
  <c r="CP382" i="3"/>
  <c r="CO382" i="3"/>
  <c r="CN382" i="3"/>
  <c r="CM382" i="3"/>
  <c r="CL382" i="3"/>
  <c r="CK382" i="3"/>
  <c r="CJ382" i="3"/>
  <c r="CI382" i="3"/>
  <c r="CH382" i="3"/>
  <c r="CG382" i="3"/>
  <c r="CF382" i="3"/>
  <c r="CE382" i="3"/>
  <c r="CD382" i="3"/>
  <c r="CC382" i="3"/>
  <c r="CB382" i="3"/>
  <c r="CA382" i="3"/>
  <c r="BZ382" i="3"/>
  <c r="BY382" i="3"/>
  <c r="BX382" i="3"/>
  <c r="BW382" i="3"/>
  <c r="BV382" i="3"/>
  <c r="BU382" i="3"/>
  <c r="BT382" i="3"/>
  <c r="BS382" i="3"/>
  <c r="BR382" i="3"/>
  <c r="BQ382" i="3"/>
  <c r="BP382" i="3"/>
  <c r="BO382" i="3"/>
  <c r="BN382" i="3"/>
  <c r="A382" i="3"/>
  <c r="DU381" i="3"/>
  <c r="DT381" i="3"/>
  <c r="DS381" i="3"/>
  <c r="DR381" i="3"/>
  <c r="DQ381" i="3"/>
  <c r="DP381" i="3"/>
  <c r="DO381" i="3"/>
  <c r="DN381" i="3"/>
  <c r="DM381" i="3"/>
  <c r="DL381" i="3"/>
  <c r="DK381" i="3"/>
  <c r="DJ381" i="3"/>
  <c r="DI381" i="3"/>
  <c r="DH381" i="3"/>
  <c r="DG381" i="3"/>
  <c r="DF381" i="3"/>
  <c r="DE381" i="3"/>
  <c r="DD381" i="3"/>
  <c r="DC381" i="3"/>
  <c r="DB381" i="3"/>
  <c r="DA381" i="3"/>
  <c r="CZ381" i="3"/>
  <c r="CY381" i="3"/>
  <c r="CX381" i="3"/>
  <c r="CW381" i="3"/>
  <c r="CV381" i="3"/>
  <c r="CU381" i="3"/>
  <c r="CT381" i="3"/>
  <c r="CS381" i="3"/>
  <c r="CR381" i="3"/>
  <c r="CQ381" i="3"/>
  <c r="CP381" i="3"/>
  <c r="CO381" i="3"/>
  <c r="CN381" i="3"/>
  <c r="CM381" i="3"/>
  <c r="CL381" i="3"/>
  <c r="CK381" i="3"/>
  <c r="CJ381" i="3"/>
  <c r="CI381" i="3"/>
  <c r="CH381" i="3"/>
  <c r="CG381" i="3"/>
  <c r="CF381" i="3"/>
  <c r="CE381" i="3"/>
  <c r="CD381" i="3"/>
  <c r="CC381" i="3"/>
  <c r="CB381" i="3"/>
  <c r="CA381" i="3"/>
  <c r="BZ381" i="3"/>
  <c r="BY381" i="3"/>
  <c r="BX381" i="3"/>
  <c r="BW381" i="3"/>
  <c r="BV381" i="3"/>
  <c r="BU381" i="3"/>
  <c r="BT381" i="3"/>
  <c r="BS381" i="3"/>
  <c r="BR381" i="3"/>
  <c r="BQ381" i="3"/>
  <c r="BP381" i="3"/>
  <c r="BO381" i="3"/>
  <c r="BN381" i="3"/>
  <c r="A381" i="3"/>
  <c r="DU380" i="3"/>
  <c r="DT380" i="3"/>
  <c r="DS380" i="3"/>
  <c r="DR380" i="3"/>
  <c r="DQ380" i="3"/>
  <c r="DP380" i="3"/>
  <c r="DO380" i="3"/>
  <c r="DN380" i="3"/>
  <c r="DM380" i="3"/>
  <c r="DL380" i="3"/>
  <c r="DK380" i="3"/>
  <c r="DJ380" i="3"/>
  <c r="DI380" i="3"/>
  <c r="DH380" i="3"/>
  <c r="DG380" i="3"/>
  <c r="DF380" i="3"/>
  <c r="DE380" i="3"/>
  <c r="DD380" i="3"/>
  <c r="DC380" i="3"/>
  <c r="DB380" i="3"/>
  <c r="DA380" i="3"/>
  <c r="CZ380" i="3"/>
  <c r="CY380" i="3"/>
  <c r="CX380" i="3"/>
  <c r="CW380" i="3"/>
  <c r="CV380" i="3"/>
  <c r="CU380" i="3"/>
  <c r="CT380" i="3"/>
  <c r="CS380" i="3"/>
  <c r="CR380" i="3"/>
  <c r="CQ380" i="3"/>
  <c r="CP380" i="3"/>
  <c r="CO380" i="3"/>
  <c r="CN380" i="3"/>
  <c r="CM380" i="3"/>
  <c r="CL380" i="3"/>
  <c r="CK380" i="3"/>
  <c r="CJ380" i="3"/>
  <c r="CI380" i="3"/>
  <c r="CH380" i="3"/>
  <c r="CG380" i="3"/>
  <c r="CF380" i="3"/>
  <c r="CE380" i="3"/>
  <c r="CD380" i="3"/>
  <c r="CC380" i="3"/>
  <c r="CB380" i="3"/>
  <c r="CA380" i="3"/>
  <c r="BZ380" i="3"/>
  <c r="BY380" i="3"/>
  <c r="BX380" i="3"/>
  <c r="BW380" i="3"/>
  <c r="BV380" i="3"/>
  <c r="BU380" i="3"/>
  <c r="BT380" i="3"/>
  <c r="BS380" i="3"/>
  <c r="BR380" i="3"/>
  <c r="BQ380" i="3"/>
  <c r="BP380" i="3"/>
  <c r="BO380" i="3"/>
  <c r="BN380" i="3"/>
  <c r="A380" i="3"/>
  <c r="DU379" i="3"/>
  <c r="DT379" i="3"/>
  <c r="DS379" i="3"/>
  <c r="DR379" i="3"/>
  <c r="DQ379" i="3"/>
  <c r="DP379" i="3"/>
  <c r="DO379" i="3"/>
  <c r="DN379" i="3"/>
  <c r="DM379" i="3"/>
  <c r="DL379" i="3"/>
  <c r="DK379" i="3"/>
  <c r="DJ379" i="3"/>
  <c r="DI379" i="3"/>
  <c r="DH379" i="3"/>
  <c r="DG379" i="3"/>
  <c r="DF379" i="3"/>
  <c r="DE379" i="3"/>
  <c r="DD379" i="3"/>
  <c r="DC379" i="3"/>
  <c r="DB379" i="3"/>
  <c r="DA379" i="3"/>
  <c r="CZ379" i="3"/>
  <c r="CY379" i="3"/>
  <c r="CX379" i="3"/>
  <c r="CW379" i="3"/>
  <c r="CV379" i="3"/>
  <c r="CU379" i="3"/>
  <c r="CT379" i="3"/>
  <c r="CS379" i="3"/>
  <c r="CR379" i="3"/>
  <c r="CQ379" i="3"/>
  <c r="CP379" i="3"/>
  <c r="CO379" i="3"/>
  <c r="CN379" i="3"/>
  <c r="CM379" i="3"/>
  <c r="CL379" i="3"/>
  <c r="CK379" i="3"/>
  <c r="CJ379" i="3"/>
  <c r="CI379" i="3"/>
  <c r="CH379" i="3"/>
  <c r="CG379" i="3"/>
  <c r="CF379" i="3"/>
  <c r="CE379" i="3"/>
  <c r="CD379" i="3"/>
  <c r="CC379" i="3"/>
  <c r="CB379" i="3"/>
  <c r="CA379" i="3"/>
  <c r="BZ379" i="3"/>
  <c r="BY379" i="3"/>
  <c r="BX379" i="3"/>
  <c r="BW379" i="3"/>
  <c r="BV379" i="3"/>
  <c r="BU379" i="3"/>
  <c r="BT379" i="3"/>
  <c r="BS379" i="3"/>
  <c r="BR379" i="3"/>
  <c r="BQ379" i="3"/>
  <c r="BP379" i="3"/>
  <c r="BO379" i="3"/>
  <c r="BN379" i="3"/>
  <c r="A379" i="3"/>
  <c r="DU378" i="3"/>
  <c r="DT378" i="3"/>
  <c r="DS378" i="3"/>
  <c r="DR378" i="3"/>
  <c r="DQ378" i="3"/>
  <c r="DP378" i="3"/>
  <c r="DO378" i="3"/>
  <c r="DN378" i="3"/>
  <c r="DM378" i="3"/>
  <c r="DL378" i="3"/>
  <c r="DK378" i="3"/>
  <c r="DJ378" i="3"/>
  <c r="DI378" i="3"/>
  <c r="DH378" i="3"/>
  <c r="DG378" i="3"/>
  <c r="DF378" i="3"/>
  <c r="DE378" i="3"/>
  <c r="DD378" i="3"/>
  <c r="DC378" i="3"/>
  <c r="DB378" i="3"/>
  <c r="DA378" i="3"/>
  <c r="CZ378" i="3"/>
  <c r="CY378" i="3"/>
  <c r="CX378" i="3"/>
  <c r="CW378" i="3"/>
  <c r="CV378" i="3"/>
  <c r="CU378" i="3"/>
  <c r="CT378" i="3"/>
  <c r="CS378" i="3"/>
  <c r="CR378" i="3"/>
  <c r="CQ378" i="3"/>
  <c r="CP378" i="3"/>
  <c r="CO378" i="3"/>
  <c r="CN378" i="3"/>
  <c r="CM378" i="3"/>
  <c r="CL378" i="3"/>
  <c r="CK378" i="3"/>
  <c r="CJ378" i="3"/>
  <c r="CI378" i="3"/>
  <c r="CH378" i="3"/>
  <c r="CG378" i="3"/>
  <c r="CF378" i="3"/>
  <c r="CE378" i="3"/>
  <c r="CD378" i="3"/>
  <c r="CC378" i="3"/>
  <c r="CB378" i="3"/>
  <c r="CA378" i="3"/>
  <c r="BZ378" i="3"/>
  <c r="BY378" i="3"/>
  <c r="BX378" i="3"/>
  <c r="BW378" i="3"/>
  <c r="BV378" i="3"/>
  <c r="BU378" i="3"/>
  <c r="BT378" i="3"/>
  <c r="BS378" i="3"/>
  <c r="BR378" i="3"/>
  <c r="BQ378" i="3"/>
  <c r="BP378" i="3"/>
  <c r="BO378" i="3"/>
  <c r="BN378" i="3"/>
  <c r="A378" i="3"/>
  <c r="DU377" i="3"/>
  <c r="DT377" i="3"/>
  <c r="DS377" i="3"/>
  <c r="DR377" i="3"/>
  <c r="DQ377" i="3"/>
  <c r="DP377" i="3"/>
  <c r="DO377" i="3"/>
  <c r="DN377" i="3"/>
  <c r="DM377" i="3"/>
  <c r="DL377" i="3"/>
  <c r="DK377" i="3"/>
  <c r="DJ377" i="3"/>
  <c r="DI377" i="3"/>
  <c r="DH377" i="3"/>
  <c r="DG377" i="3"/>
  <c r="DF377" i="3"/>
  <c r="DE377" i="3"/>
  <c r="DD377" i="3"/>
  <c r="DC377" i="3"/>
  <c r="DB377" i="3"/>
  <c r="DA377" i="3"/>
  <c r="CZ377" i="3"/>
  <c r="CY377" i="3"/>
  <c r="CX377" i="3"/>
  <c r="CW377" i="3"/>
  <c r="CV377" i="3"/>
  <c r="CU377" i="3"/>
  <c r="CT377" i="3"/>
  <c r="CS377" i="3"/>
  <c r="CR377" i="3"/>
  <c r="CQ377" i="3"/>
  <c r="CP377" i="3"/>
  <c r="CO377" i="3"/>
  <c r="CN377" i="3"/>
  <c r="CM377" i="3"/>
  <c r="CL377" i="3"/>
  <c r="CK377" i="3"/>
  <c r="CJ377" i="3"/>
  <c r="CI377" i="3"/>
  <c r="CH377" i="3"/>
  <c r="CG377" i="3"/>
  <c r="CF377" i="3"/>
  <c r="CE377" i="3"/>
  <c r="CD377" i="3"/>
  <c r="CC377" i="3"/>
  <c r="CB377" i="3"/>
  <c r="CA377" i="3"/>
  <c r="BZ377" i="3"/>
  <c r="BY377" i="3"/>
  <c r="BX377" i="3"/>
  <c r="BW377" i="3"/>
  <c r="BV377" i="3"/>
  <c r="BU377" i="3"/>
  <c r="BT377" i="3"/>
  <c r="BS377" i="3"/>
  <c r="BR377" i="3"/>
  <c r="BQ377" i="3"/>
  <c r="BP377" i="3"/>
  <c r="BO377" i="3"/>
  <c r="BN377" i="3"/>
  <c r="A377" i="3"/>
  <c r="DU376" i="3"/>
  <c r="DT376" i="3"/>
  <c r="DS376" i="3"/>
  <c r="DR376" i="3"/>
  <c r="DQ376" i="3"/>
  <c r="DP376" i="3"/>
  <c r="DO376" i="3"/>
  <c r="DN376" i="3"/>
  <c r="DM376" i="3"/>
  <c r="DL376" i="3"/>
  <c r="DK376" i="3"/>
  <c r="DJ376" i="3"/>
  <c r="DI376" i="3"/>
  <c r="DH376" i="3"/>
  <c r="DG376" i="3"/>
  <c r="DF376" i="3"/>
  <c r="DE376" i="3"/>
  <c r="DD376" i="3"/>
  <c r="DC376" i="3"/>
  <c r="DB376" i="3"/>
  <c r="DA376" i="3"/>
  <c r="CZ376" i="3"/>
  <c r="CY376" i="3"/>
  <c r="CX376" i="3"/>
  <c r="CW376" i="3"/>
  <c r="CV376" i="3"/>
  <c r="CU376" i="3"/>
  <c r="CT376" i="3"/>
  <c r="CS376" i="3"/>
  <c r="CR376" i="3"/>
  <c r="CQ376" i="3"/>
  <c r="CP376" i="3"/>
  <c r="CO376" i="3"/>
  <c r="CN376" i="3"/>
  <c r="CM376" i="3"/>
  <c r="CL376" i="3"/>
  <c r="CK376" i="3"/>
  <c r="CJ376" i="3"/>
  <c r="CI376" i="3"/>
  <c r="CH376" i="3"/>
  <c r="CG376" i="3"/>
  <c r="CF376" i="3"/>
  <c r="CE376" i="3"/>
  <c r="CD376" i="3"/>
  <c r="CC376" i="3"/>
  <c r="CB376" i="3"/>
  <c r="CA376" i="3"/>
  <c r="BZ376" i="3"/>
  <c r="BY376" i="3"/>
  <c r="BX376" i="3"/>
  <c r="BW376" i="3"/>
  <c r="BV376" i="3"/>
  <c r="BU376" i="3"/>
  <c r="BT376" i="3"/>
  <c r="BS376" i="3"/>
  <c r="BR376" i="3"/>
  <c r="BQ376" i="3"/>
  <c r="BP376" i="3"/>
  <c r="BO376" i="3"/>
  <c r="BN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I376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DU375" i="3"/>
  <c r="DT375" i="3"/>
  <c r="DS375" i="3"/>
  <c r="DR375" i="3"/>
  <c r="DQ375" i="3"/>
  <c r="DP375" i="3"/>
  <c r="DO375" i="3"/>
  <c r="DN375" i="3"/>
  <c r="DM375" i="3"/>
  <c r="DL375" i="3"/>
  <c r="DK375" i="3"/>
  <c r="DJ375" i="3"/>
  <c r="DI375" i="3"/>
  <c r="DH375" i="3"/>
  <c r="DG375" i="3"/>
  <c r="DF375" i="3"/>
  <c r="DE375" i="3"/>
  <c r="DD375" i="3"/>
  <c r="DC375" i="3"/>
  <c r="DB375" i="3"/>
  <c r="DA375" i="3"/>
  <c r="CZ375" i="3"/>
  <c r="CY375" i="3"/>
  <c r="CX375" i="3"/>
  <c r="CW375" i="3"/>
  <c r="CV375" i="3"/>
  <c r="CU375" i="3"/>
  <c r="CT375" i="3"/>
  <c r="CS375" i="3"/>
  <c r="CR375" i="3"/>
  <c r="CQ375" i="3"/>
  <c r="CP375" i="3"/>
  <c r="CO375" i="3"/>
  <c r="CN375" i="3"/>
  <c r="CM375" i="3"/>
  <c r="CL375" i="3"/>
  <c r="CK375" i="3"/>
  <c r="CJ375" i="3"/>
  <c r="CI375" i="3"/>
  <c r="CH375" i="3"/>
  <c r="CG375" i="3"/>
  <c r="CF375" i="3"/>
  <c r="CE375" i="3"/>
  <c r="CD375" i="3"/>
  <c r="CC375" i="3"/>
  <c r="CB375" i="3"/>
  <c r="CA375" i="3"/>
  <c r="BZ375" i="3"/>
  <c r="BY375" i="3"/>
  <c r="BX375" i="3"/>
  <c r="BW375" i="3"/>
  <c r="BV375" i="3"/>
  <c r="BU375" i="3"/>
  <c r="BT375" i="3"/>
  <c r="BS375" i="3"/>
  <c r="BR375" i="3"/>
  <c r="BQ375" i="3"/>
  <c r="BP375" i="3"/>
  <c r="BO375" i="3"/>
  <c r="BN375" i="3"/>
  <c r="E375" i="3"/>
  <c r="D375" i="3"/>
  <c r="C375" i="3"/>
  <c r="B375" i="3"/>
  <c r="A375" i="3"/>
  <c r="DU374" i="3"/>
  <c r="DT374" i="3"/>
  <c r="DS374" i="3"/>
  <c r="DR374" i="3"/>
  <c r="DQ374" i="3"/>
  <c r="DP374" i="3"/>
  <c r="DO374" i="3"/>
  <c r="DN374" i="3"/>
  <c r="DM374" i="3"/>
  <c r="DL374" i="3"/>
  <c r="DK374" i="3"/>
  <c r="DJ374" i="3"/>
  <c r="DI374" i="3"/>
  <c r="DH374" i="3"/>
  <c r="DG374" i="3"/>
  <c r="DF374" i="3"/>
  <c r="DE374" i="3"/>
  <c r="DD374" i="3"/>
  <c r="DC374" i="3"/>
  <c r="DB374" i="3"/>
  <c r="DA374" i="3"/>
  <c r="CZ374" i="3"/>
  <c r="CY374" i="3"/>
  <c r="CX374" i="3"/>
  <c r="CW374" i="3"/>
  <c r="CV374" i="3"/>
  <c r="CU374" i="3"/>
  <c r="CT374" i="3"/>
  <c r="CS374" i="3"/>
  <c r="CR374" i="3"/>
  <c r="CQ374" i="3"/>
  <c r="CP374" i="3"/>
  <c r="CO374" i="3"/>
  <c r="CN374" i="3"/>
  <c r="CM374" i="3"/>
  <c r="CL374" i="3"/>
  <c r="CK374" i="3"/>
  <c r="CJ374" i="3"/>
  <c r="CI374" i="3"/>
  <c r="CH374" i="3"/>
  <c r="CG374" i="3"/>
  <c r="CF374" i="3"/>
  <c r="CE374" i="3"/>
  <c r="CD374" i="3"/>
  <c r="CC374" i="3"/>
  <c r="CB374" i="3"/>
  <c r="CA374" i="3"/>
  <c r="BZ374" i="3"/>
  <c r="BY374" i="3"/>
  <c r="BX374" i="3"/>
  <c r="BW374" i="3"/>
  <c r="BV374" i="3"/>
  <c r="BU374" i="3"/>
  <c r="BT374" i="3"/>
  <c r="BS374" i="3"/>
  <c r="BR374" i="3"/>
  <c r="BQ374" i="3"/>
  <c r="BP374" i="3"/>
  <c r="BO374" i="3"/>
  <c r="BN374" i="3"/>
  <c r="E374" i="3"/>
  <c r="D374" i="3"/>
  <c r="C374" i="3"/>
  <c r="B374" i="3"/>
  <c r="A374" i="3"/>
  <c r="DU373" i="3"/>
  <c r="DT373" i="3"/>
  <c r="DS373" i="3"/>
  <c r="DR373" i="3"/>
  <c r="DQ373" i="3"/>
  <c r="DP373" i="3"/>
  <c r="DO373" i="3"/>
  <c r="DN373" i="3"/>
  <c r="DM373" i="3"/>
  <c r="DL373" i="3"/>
  <c r="DK373" i="3"/>
  <c r="DJ373" i="3"/>
  <c r="DI373" i="3"/>
  <c r="DH373" i="3"/>
  <c r="DG373" i="3"/>
  <c r="DF373" i="3"/>
  <c r="DE373" i="3"/>
  <c r="DD373" i="3"/>
  <c r="DC373" i="3"/>
  <c r="DB373" i="3"/>
  <c r="DA373" i="3"/>
  <c r="CZ373" i="3"/>
  <c r="CY373" i="3"/>
  <c r="CX373" i="3"/>
  <c r="CW373" i="3"/>
  <c r="CV373" i="3"/>
  <c r="CU373" i="3"/>
  <c r="CT373" i="3"/>
  <c r="CS373" i="3"/>
  <c r="CR373" i="3"/>
  <c r="CQ373" i="3"/>
  <c r="CP373" i="3"/>
  <c r="CO373" i="3"/>
  <c r="CN373" i="3"/>
  <c r="CM373" i="3"/>
  <c r="CL373" i="3"/>
  <c r="CK373" i="3"/>
  <c r="CJ373" i="3"/>
  <c r="CI373" i="3"/>
  <c r="CH373" i="3"/>
  <c r="CG373" i="3"/>
  <c r="CF373" i="3"/>
  <c r="CE373" i="3"/>
  <c r="CD373" i="3"/>
  <c r="CC373" i="3"/>
  <c r="CB373" i="3"/>
  <c r="CA373" i="3"/>
  <c r="BZ373" i="3"/>
  <c r="BY373" i="3"/>
  <c r="BX373" i="3"/>
  <c r="BW373" i="3"/>
  <c r="BV373" i="3"/>
  <c r="BU373" i="3"/>
  <c r="BT373" i="3"/>
  <c r="BS373" i="3"/>
  <c r="BR373" i="3"/>
  <c r="BQ373" i="3"/>
  <c r="BP373" i="3"/>
  <c r="BO373" i="3"/>
  <c r="BN373" i="3"/>
  <c r="E373" i="3"/>
  <c r="D373" i="3"/>
  <c r="C373" i="3"/>
  <c r="A373" i="3"/>
  <c r="DU372" i="3"/>
  <c r="DT372" i="3"/>
  <c r="DS372" i="3"/>
  <c r="DR372" i="3"/>
  <c r="DQ372" i="3"/>
  <c r="DP372" i="3"/>
  <c r="DO372" i="3"/>
  <c r="DN372" i="3"/>
  <c r="DM372" i="3"/>
  <c r="DL372" i="3"/>
  <c r="DK372" i="3"/>
  <c r="DJ372" i="3"/>
  <c r="DI372" i="3"/>
  <c r="DH372" i="3"/>
  <c r="DG372" i="3"/>
  <c r="DF372" i="3"/>
  <c r="DE372" i="3"/>
  <c r="DD372" i="3"/>
  <c r="DC372" i="3"/>
  <c r="DB372" i="3"/>
  <c r="DA372" i="3"/>
  <c r="CZ372" i="3"/>
  <c r="CY372" i="3"/>
  <c r="CX372" i="3"/>
  <c r="CW372" i="3"/>
  <c r="CV372" i="3"/>
  <c r="CU372" i="3"/>
  <c r="CT372" i="3"/>
  <c r="CS372" i="3"/>
  <c r="CR372" i="3"/>
  <c r="CQ372" i="3"/>
  <c r="CP372" i="3"/>
  <c r="CO372" i="3"/>
  <c r="CN372" i="3"/>
  <c r="CM372" i="3"/>
  <c r="CL372" i="3"/>
  <c r="CK372" i="3"/>
  <c r="CJ372" i="3"/>
  <c r="CI372" i="3"/>
  <c r="CH372" i="3"/>
  <c r="CG372" i="3"/>
  <c r="CF372" i="3"/>
  <c r="CE372" i="3"/>
  <c r="CD372" i="3"/>
  <c r="CC372" i="3"/>
  <c r="CB372" i="3"/>
  <c r="CA372" i="3"/>
  <c r="BZ372" i="3"/>
  <c r="BY372" i="3"/>
  <c r="BX372" i="3"/>
  <c r="BW372" i="3"/>
  <c r="BV372" i="3"/>
  <c r="BU372" i="3"/>
  <c r="BT372" i="3"/>
  <c r="BS372" i="3"/>
  <c r="BR372" i="3"/>
  <c r="BQ372" i="3"/>
  <c r="BP372" i="3"/>
  <c r="BO372" i="3"/>
  <c r="BN372" i="3"/>
  <c r="E372" i="3"/>
  <c r="D372" i="3"/>
  <c r="C372" i="3"/>
  <c r="B372" i="3"/>
  <c r="A372" i="3"/>
  <c r="DU371" i="3"/>
  <c r="DT371" i="3"/>
  <c r="DS371" i="3"/>
  <c r="DR371" i="3"/>
  <c r="DQ371" i="3"/>
  <c r="DP371" i="3"/>
  <c r="DO371" i="3"/>
  <c r="DN371" i="3"/>
  <c r="DM371" i="3"/>
  <c r="DL371" i="3"/>
  <c r="DK371" i="3"/>
  <c r="DJ371" i="3"/>
  <c r="DI371" i="3"/>
  <c r="DH371" i="3"/>
  <c r="DG371" i="3"/>
  <c r="DF371" i="3"/>
  <c r="DE371" i="3"/>
  <c r="DD371" i="3"/>
  <c r="DC371" i="3"/>
  <c r="DB371" i="3"/>
  <c r="DA371" i="3"/>
  <c r="CZ371" i="3"/>
  <c r="CY371" i="3"/>
  <c r="CX371" i="3"/>
  <c r="CW371" i="3"/>
  <c r="CV371" i="3"/>
  <c r="CU371" i="3"/>
  <c r="CT371" i="3"/>
  <c r="CS371" i="3"/>
  <c r="CR371" i="3"/>
  <c r="CQ371" i="3"/>
  <c r="CP371" i="3"/>
  <c r="CO371" i="3"/>
  <c r="CN371" i="3"/>
  <c r="CM371" i="3"/>
  <c r="CL371" i="3"/>
  <c r="CK371" i="3"/>
  <c r="CJ371" i="3"/>
  <c r="CI371" i="3"/>
  <c r="CH371" i="3"/>
  <c r="CG371" i="3"/>
  <c r="CF371" i="3"/>
  <c r="CE371" i="3"/>
  <c r="CD371" i="3"/>
  <c r="CC371" i="3"/>
  <c r="CB371" i="3"/>
  <c r="CA371" i="3"/>
  <c r="BZ371" i="3"/>
  <c r="BY371" i="3"/>
  <c r="BX371" i="3"/>
  <c r="BW371" i="3"/>
  <c r="BV371" i="3"/>
  <c r="BU371" i="3"/>
  <c r="BT371" i="3"/>
  <c r="BS371" i="3"/>
  <c r="BR371" i="3"/>
  <c r="BQ371" i="3"/>
  <c r="BP371" i="3"/>
  <c r="BO371" i="3"/>
  <c r="BN371" i="3"/>
  <c r="A371" i="3"/>
  <c r="DU370" i="3"/>
  <c r="DT370" i="3"/>
  <c r="DS370" i="3"/>
  <c r="DR370" i="3"/>
  <c r="DQ370" i="3"/>
  <c r="DP370" i="3"/>
  <c r="DO370" i="3"/>
  <c r="DN370" i="3"/>
  <c r="DM370" i="3"/>
  <c r="DL370" i="3"/>
  <c r="DK370" i="3"/>
  <c r="DJ370" i="3"/>
  <c r="DI370" i="3"/>
  <c r="DH370" i="3"/>
  <c r="DG370" i="3"/>
  <c r="DF370" i="3"/>
  <c r="DE370" i="3"/>
  <c r="DD370" i="3"/>
  <c r="DC370" i="3"/>
  <c r="DB370" i="3"/>
  <c r="DA370" i="3"/>
  <c r="CZ370" i="3"/>
  <c r="CY370" i="3"/>
  <c r="CX370" i="3"/>
  <c r="CW370" i="3"/>
  <c r="CV370" i="3"/>
  <c r="CU370" i="3"/>
  <c r="CT370" i="3"/>
  <c r="CS370" i="3"/>
  <c r="CR370" i="3"/>
  <c r="CQ370" i="3"/>
  <c r="CP370" i="3"/>
  <c r="CO370" i="3"/>
  <c r="CN370" i="3"/>
  <c r="CM370" i="3"/>
  <c r="CL370" i="3"/>
  <c r="CK370" i="3"/>
  <c r="CJ370" i="3"/>
  <c r="CI370" i="3"/>
  <c r="CH370" i="3"/>
  <c r="CG370" i="3"/>
  <c r="CF370" i="3"/>
  <c r="CE370" i="3"/>
  <c r="CD370" i="3"/>
  <c r="CC370" i="3"/>
  <c r="CB370" i="3"/>
  <c r="CA370" i="3"/>
  <c r="BZ370" i="3"/>
  <c r="BY370" i="3"/>
  <c r="BX370" i="3"/>
  <c r="BW370" i="3"/>
  <c r="BV370" i="3"/>
  <c r="BU370" i="3"/>
  <c r="BT370" i="3"/>
  <c r="BS370" i="3"/>
  <c r="BR370" i="3"/>
  <c r="BQ370" i="3"/>
  <c r="BP370" i="3"/>
  <c r="BO370" i="3"/>
  <c r="BN370" i="3"/>
  <c r="E370" i="3"/>
  <c r="D370" i="3"/>
  <c r="C370" i="3"/>
  <c r="B370" i="3"/>
  <c r="A370" i="3"/>
  <c r="DU369" i="3"/>
  <c r="DT369" i="3"/>
  <c r="DS369" i="3"/>
  <c r="DR369" i="3"/>
  <c r="DQ369" i="3"/>
  <c r="DP369" i="3"/>
  <c r="DO369" i="3"/>
  <c r="DN369" i="3"/>
  <c r="DM369" i="3"/>
  <c r="DL369" i="3"/>
  <c r="DK369" i="3"/>
  <c r="DJ369" i="3"/>
  <c r="DI369" i="3"/>
  <c r="DH369" i="3"/>
  <c r="DG369" i="3"/>
  <c r="DF369" i="3"/>
  <c r="DE369" i="3"/>
  <c r="DD369" i="3"/>
  <c r="DC369" i="3"/>
  <c r="DB369" i="3"/>
  <c r="DA369" i="3"/>
  <c r="CZ369" i="3"/>
  <c r="CY369" i="3"/>
  <c r="CX369" i="3"/>
  <c r="CW369" i="3"/>
  <c r="CV369" i="3"/>
  <c r="CU369" i="3"/>
  <c r="CT369" i="3"/>
  <c r="CS369" i="3"/>
  <c r="CR369" i="3"/>
  <c r="CQ369" i="3"/>
  <c r="CP369" i="3"/>
  <c r="CO369" i="3"/>
  <c r="CN369" i="3"/>
  <c r="CM369" i="3"/>
  <c r="CL369" i="3"/>
  <c r="CK369" i="3"/>
  <c r="CJ369" i="3"/>
  <c r="CI369" i="3"/>
  <c r="CH369" i="3"/>
  <c r="CG369" i="3"/>
  <c r="CF369" i="3"/>
  <c r="CE369" i="3"/>
  <c r="CD369" i="3"/>
  <c r="CC369" i="3"/>
  <c r="CB369" i="3"/>
  <c r="CA369" i="3"/>
  <c r="BZ369" i="3"/>
  <c r="BY369" i="3"/>
  <c r="BX369" i="3"/>
  <c r="BW369" i="3"/>
  <c r="BV369" i="3"/>
  <c r="BU369" i="3"/>
  <c r="BT369" i="3"/>
  <c r="BS369" i="3"/>
  <c r="BR369" i="3"/>
  <c r="BQ369" i="3"/>
  <c r="BP369" i="3"/>
  <c r="BO369" i="3"/>
  <c r="BN369" i="3"/>
  <c r="E369" i="3"/>
  <c r="D369" i="3"/>
  <c r="C369" i="3"/>
  <c r="B369" i="3"/>
  <c r="A369" i="3"/>
  <c r="DU368" i="3"/>
  <c r="DT368" i="3"/>
  <c r="DS368" i="3"/>
  <c r="DR368" i="3"/>
  <c r="DQ368" i="3"/>
  <c r="DP368" i="3"/>
  <c r="DO368" i="3"/>
  <c r="DN368" i="3"/>
  <c r="DM368" i="3"/>
  <c r="DL368" i="3"/>
  <c r="DK368" i="3"/>
  <c r="DJ368" i="3"/>
  <c r="DI368" i="3"/>
  <c r="DH368" i="3"/>
  <c r="DG368" i="3"/>
  <c r="DF368" i="3"/>
  <c r="DE368" i="3"/>
  <c r="DD368" i="3"/>
  <c r="DC368" i="3"/>
  <c r="DB368" i="3"/>
  <c r="DA368" i="3"/>
  <c r="CZ368" i="3"/>
  <c r="CY368" i="3"/>
  <c r="CX368" i="3"/>
  <c r="CW368" i="3"/>
  <c r="CV368" i="3"/>
  <c r="CU368" i="3"/>
  <c r="CT368" i="3"/>
  <c r="CS368" i="3"/>
  <c r="CR368" i="3"/>
  <c r="CQ368" i="3"/>
  <c r="CP368" i="3"/>
  <c r="CO368" i="3"/>
  <c r="CN368" i="3"/>
  <c r="CM368" i="3"/>
  <c r="CL368" i="3"/>
  <c r="CK368" i="3"/>
  <c r="CJ368" i="3"/>
  <c r="CI368" i="3"/>
  <c r="CH368" i="3"/>
  <c r="CG368" i="3"/>
  <c r="CF368" i="3"/>
  <c r="CE368" i="3"/>
  <c r="CD368" i="3"/>
  <c r="CC368" i="3"/>
  <c r="CB368" i="3"/>
  <c r="CA368" i="3"/>
  <c r="BZ368" i="3"/>
  <c r="BY368" i="3"/>
  <c r="BX368" i="3"/>
  <c r="BW368" i="3"/>
  <c r="BV368" i="3"/>
  <c r="BU368" i="3"/>
  <c r="BT368" i="3"/>
  <c r="BS368" i="3"/>
  <c r="BR368" i="3"/>
  <c r="BQ368" i="3"/>
  <c r="BP368" i="3"/>
  <c r="BO368" i="3"/>
  <c r="BN368" i="3"/>
  <c r="E368" i="3"/>
  <c r="D368" i="3"/>
  <c r="C368" i="3"/>
  <c r="B368" i="3"/>
  <c r="A368" i="3"/>
  <c r="DU367" i="3"/>
  <c r="DT367" i="3"/>
  <c r="DS367" i="3"/>
  <c r="DR367" i="3"/>
  <c r="DQ367" i="3"/>
  <c r="DP367" i="3"/>
  <c r="DO367" i="3"/>
  <c r="DN367" i="3"/>
  <c r="DM367" i="3"/>
  <c r="DL367" i="3"/>
  <c r="DK367" i="3"/>
  <c r="DJ367" i="3"/>
  <c r="DI367" i="3"/>
  <c r="DH367" i="3"/>
  <c r="DG367" i="3"/>
  <c r="DF367" i="3"/>
  <c r="DE367" i="3"/>
  <c r="DD367" i="3"/>
  <c r="DC367" i="3"/>
  <c r="DB367" i="3"/>
  <c r="DA367" i="3"/>
  <c r="CZ367" i="3"/>
  <c r="CY367" i="3"/>
  <c r="CX367" i="3"/>
  <c r="CW367" i="3"/>
  <c r="CV367" i="3"/>
  <c r="CU367" i="3"/>
  <c r="CT367" i="3"/>
  <c r="CS367" i="3"/>
  <c r="CR367" i="3"/>
  <c r="CQ367" i="3"/>
  <c r="CP367" i="3"/>
  <c r="CO367" i="3"/>
  <c r="CN367" i="3"/>
  <c r="CM367" i="3"/>
  <c r="CL367" i="3"/>
  <c r="CK367" i="3"/>
  <c r="CJ367" i="3"/>
  <c r="CI367" i="3"/>
  <c r="CH367" i="3"/>
  <c r="CG367" i="3"/>
  <c r="CF367" i="3"/>
  <c r="CE367" i="3"/>
  <c r="CD367" i="3"/>
  <c r="CC367" i="3"/>
  <c r="CB367" i="3"/>
  <c r="CA367" i="3"/>
  <c r="BZ367" i="3"/>
  <c r="BY367" i="3"/>
  <c r="BX367" i="3"/>
  <c r="BW367" i="3"/>
  <c r="BV367" i="3"/>
  <c r="BU367" i="3"/>
  <c r="BT367" i="3"/>
  <c r="BS367" i="3"/>
  <c r="BR367" i="3"/>
  <c r="BQ367" i="3"/>
  <c r="BP367" i="3"/>
  <c r="BO367" i="3"/>
  <c r="BN367" i="3"/>
  <c r="E367" i="3"/>
  <c r="D367" i="3"/>
  <c r="C367" i="3"/>
  <c r="B367" i="3"/>
  <c r="A367" i="3"/>
  <c r="DU366" i="3"/>
  <c r="DT366" i="3"/>
  <c r="DS366" i="3"/>
  <c r="DR366" i="3"/>
  <c r="DQ366" i="3"/>
  <c r="DP366" i="3"/>
  <c r="DO366" i="3"/>
  <c r="DN366" i="3"/>
  <c r="DM366" i="3"/>
  <c r="DL366" i="3"/>
  <c r="DK366" i="3"/>
  <c r="DJ366" i="3"/>
  <c r="DI366" i="3"/>
  <c r="DH366" i="3"/>
  <c r="DG366" i="3"/>
  <c r="DF366" i="3"/>
  <c r="DE366" i="3"/>
  <c r="DD366" i="3"/>
  <c r="DC366" i="3"/>
  <c r="DB366" i="3"/>
  <c r="DA366" i="3"/>
  <c r="CZ366" i="3"/>
  <c r="CY366" i="3"/>
  <c r="CX366" i="3"/>
  <c r="CW366" i="3"/>
  <c r="CV366" i="3"/>
  <c r="CU366" i="3"/>
  <c r="CT366" i="3"/>
  <c r="CS366" i="3"/>
  <c r="CR366" i="3"/>
  <c r="CQ366" i="3"/>
  <c r="CP366" i="3"/>
  <c r="CO366" i="3"/>
  <c r="CN366" i="3"/>
  <c r="CM366" i="3"/>
  <c r="CL366" i="3"/>
  <c r="CK366" i="3"/>
  <c r="CJ366" i="3"/>
  <c r="CI366" i="3"/>
  <c r="CH366" i="3"/>
  <c r="CG366" i="3"/>
  <c r="CF366" i="3"/>
  <c r="CE366" i="3"/>
  <c r="CD366" i="3"/>
  <c r="CC366" i="3"/>
  <c r="CB366" i="3"/>
  <c r="CA366" i="3"/>
  <c r="BZ366" i="3"/>
  <c r="BY366" i="3"/>
  <c r="BX366" i="3"/>
  <c r="BW366" i="3"/>
  <c r="BV366" i="3"/>
  <c r="BU366" i="3"/>
  <c r="BT366" i="3"/>
  <c r="BS366" i="3"/>
  <c r="BR366" i="3"/>
  <c r="BQ366" i="3"/>
  <c r="BP366" i="3"/>
  <c r="BO366" i="3"/>
  <c r="BN366" i="3"/>
  <c r="E366" i="3"/>
  <c r="D366" i="3"/>
  <c r="C366" i="3"/>
  <c r="B366" i="3"/>
  <c r="A366" i="3"/>
  <c r="DU365" i="3"/>
  <c r="DT365" i="3"/>
  <c r="DS365" i="3"/>
  <c r="DR365" i="3"/>
  <c r="DQ365" i="3"/>
  <c r="DP365" i="3"/>
  <c r="DO365" i="3"/>
  <c r="DN365" i="3"/>
  <c r="DM365" i="3"/>
  <c r="DL365" i="3"/>
  <c r="DK365" i="3"/>
  <c r="DJ365" i="3"/>
  <c r="DI365" i="3"/>
  <c r="DH365" i="3"/>
  <c r="DG365" i="3"/>
  <c r="DF365" i="3"/>
  <c r="DE365" i="3"/>
  <c r="DD365" i="3"/>
  <c r="DC365" i="3"/>
  <c r="DB365" i="3"/>
  <c r="DA365" i="3"/>
  <c r="CZ365" i="3"/>
  <c r="CY365" i="3"/>
  <c r="CX365" i="3"/>
  <c r="CW365" i="3"/>
  <c r="CV365" i="3"/>
  <c r="CU365" i="3"/>
  <c r="CT365" i="3"/>
  <c r="CS365" i="3"/>
  <c r="CR365" i="3"/>
  <c r="CQ365" i="3"/>
  <c r="CP365" i="3"/>
  <c r="CO365" i="3"/>
  <c r="CN365" i="3"/>
  <c r="CM365" i="3"/>
  <c r="CL365" i="3"/>
  <c r="CK365" i="3"/>
  <c r="CJ365" i="3"/>
  <c r="CI365" i="3"/>
  <c r="CH365" i="3"/>
  <c r="CG365" i="3"/>
  <c r="CF365" i="3"/>
  <c r="CE365" i="3"/>
  <c r="CD365" i="3"/>
  <c r="CC365" i="3"/>
  <c r="CB365" i="3"/>
  <c r="CA365" i="3"/>
  <c r="BZ365" i="3"/>
  <c r="BY365" i="3"/>
  <c r="BX365" i="3"/>
  <c r="BW365" i="3"/>
  <c r="BV365" i="3"/>
  <c r="BU365" i="3"/>
  <c r="BT365" i="3"/>
  <c r="BS365" i="3"/>
  <c r="BR365" i="3"/>
  <c r="BQ365" i="3"/>
  <c r="BP365" i="3"/>
  <c r="BO365" i="3"/>
  <c r="BN365" i="3"/>
  <c r="E365" i="3"/>
  <c r="D365" i="3"/>
  <c r="C365" i="3"/>
  <c r="B365" i="3"/>
  <c r="A365" i="3"/>
  <c r="DU364" i="3"/>
  <c r="DT364" i="3"/>
  <c r="DS364" i="3"/>
  <c r="DR364" i="3"/>
  <c r="DQ364" i="3"/>
  <c r="DP364" i="3"/>
  <c r="DO364" i="3"/>
  <c r="DN364" i="3"/>
  <c r="DM364" i="3"/>
  <c r="DL364" i="3"/>
  <c r="DK364" i="3"/>
  <c r="DJ364" i="3"/>
  <c r="DI364" i="3"/>
  <c r="DH364" i="3"/>
  <c r="DG364" i="3"/>
  <c r="DF364" i="3"/>
  <c r="DE364" i="3"/>
  <c r="DD364" i="3"/>
  <c r="DC364" i="3"/>
  <c r="DB364" i="3"/>
  <c r="DA364" i="3"/>
  <c r="CZ364" i="3"/>
  <c r="CY364" i="3"/>
  <c r="CX364" i="3"/>
  <c r="CW364" i="3"/>
  <c r="CV364" i="3"/>
  <c r="CU364" i="3"/>
  <c r="CT364" i="3"/>
  <c r="CS364" i="3"/>
  <c r="CR364" i="3"/>
  <c r="CQ364" i="3"/>
  <c r="CP364" i="3"/>
  <c r="CO364" i="3"/>
  <c r="CN364" i="3"/>
  <c r="CM364" i="3"/>
  <c r="CL364" i="3"/>
  <c r="CK364" i="3"/>
  <c r="CJ364" i="3"/>
  <c r="CI364" i="3"/>
  <c r="CH364" i="3"/>
  <c r="CG364" i="3"/>
  <c r="CF364" i="3"/>
  <c r="CE364" i="3"/>
  <c r="CD364" i="3"/>
  <c r="CC364" i="3"/>
  <c r="CB364" i="3"/>
  <c r="CA364" i="3"/>
  <c r="BZ364" i="3"/>
  <c r="BY364" i="3"/>
  <c r="BX364" i="3"/>
  <c r="BW364" i="3"/>
  <c r="BV364" i="3"/>
  <c r="BU364" i="3"/>
  <c r="BT364" i="3"/>
  <c r="BS364" i="3"/>
  <c r="BR364" i="3"/>
  <c r="BQ364" i="3"/>
  <c r="BP364" i="3"/>
  <c r="BO364" i="3"/>
  <c r="BN364" i="3"/>
  <c r="D364" i="3"/>
  <c r="C364" i="3"/>
  <c r="B364" i="3"/>
  <c r="A364" i="3"/>
  <c r="DU363" i="3"/>
  <c r="DT363" i="3"/>
  <c r="DS363" i="3"/>
  <c r="DR363" i="3"/>
  <c r="DQ363" i="3"/>
  <c r="DP363" i="3"/>
  <c r="DO363" i="3"/>
  <c r="DN363" i="3"/>
  <c r="DM363" i="3"/>
  <c r="DL363" i="3"/>
  <c r="DK363" i="3"/>
  <c r="DJ363" i="3"/>
  <c r="DI363" i="3"/>
  <c r="DH363" i="3"/>
  <c r="DG363" i="3"/>
  <c r="DF363" i="3"/>
  <c r="DE363" i="3"/>
  <c r="DD363" i="3"/>
  <c r="DC363" i="3"/>
  <c r="DB363" i="3"/>
  <c r="DA363" i="3"/>
  <c r="CZ363" i="3"/>
  <c r="CY363" i="3"/>
  <c r="CX363" i="3"/>
  <c r="CW363" i="3"/>
  <c r="CV363" i="3"/>
  <c r="CU363" i="3"/>
  <c r="CT363" i="3"/>
  <c r="CS363" i="3"/>
  <c r="CR363" i="3"/>
  <c r="CQ363" i="3"/>
  <c r="CP363" i="3"/>
  <c r="CO363" i="3"/>
  <c r="CN363" i="3"/>
  <c r="CM363" i="3"/>
  <c r="CL363" i="3"/>
  <c r="CK363" i="3"/>
  <c r="CJ363" i="3"/>
  <c r="CI363" i="3"/>
  <c r="CH363" i="3"/>
  <c r="CG363" i="3"/>
  <c r="CF363" i="3"/>
  <c r="CE363" i="3"/>
  <c r="CD363" i="3"/>
  <c r="CC363" i="3"/>
  <c r="CB363" i="3"/>
  <c r="CA363" i="3"/>
  <c r="BZ363" i="3"/>
  <c r="BY363" i="3"/>
  <c r="BX363" i="3"/>
  <c r="BW363" i="3"/>
  <c r="BV363" i="3"/>
  <c r="BU363" i="3"/>
  <c r="BT363" i="3"/>
  <c r="BS363" i="3"/>
  <c r="BR363" i="3"/>
  <c r="BQ363" i="3"/>
  <c r="BP363" i="3"/>
  <c r="BO363" i="3"/>
  <c r="BN363" i="3"/>
  <c r="DU362" i="3"/>
  <c r="DT362" i="3"/>
  <c r="DS362" i="3"/>
  <c r="DR362" i="3"/>
  <c r="DQ362" i="3"/>
  <c r="DP362" i="3"/>
  <c r="DO362" i="3"/>
  <c r="DN362" i="3"/>
  <c r="DM362" i="3"/>
  <c r="DL362" i="3"/>
  <c r="DK362" i="3"/>
  <c r="DJ362" i="3"/>
  <c r="DI362" i="3"/>
  <c r="DH362" i="3"/>
  <c r="DG362" i="3"/>
  <c r="DF362" i="3"/>
  <c r="DE362" i="3"/>
  <c r="DD362" i="3"/>
  <c r="DC362" i="3"/>
  <c r="DB362" i="3"/>
  <c r="DA362" i="3"/>
  <c r="CZ362" i="3"/>
  <c r="CY362" i="3"/>
  <c r="CX362" i="3"/>
  <c r="CW362" i="3"/>
  <c r="CV362" i="3"/>
  <c r="CU362" i="3"/>
  <c r="CT362" i="3"/>
  <c r="CS362" i="3"/>
  <c r="CR362" i="3"/>
  <c r="CQ362" i="3"/>
  <c r="CP362" i="3"/>
  <c r="CO362" i="3"/>
  <c r="CN362" i="3"/>
  <c r="CM362" i="3"/>
  <c r="CL362" i="3"/>
  <c r="CK362" i="3"/>
  <c r="CJ362" i="3"/>
  <c r="CI362" i="3"/>
  <c r="CH362" i="3"/>
  <c r="CG362" i="3"/>
  <c r="CF362" i="3"/>
  <c r="CE362" i="3"/>
  <c r="CD362" i="3"/>
  <c r="CC362" i="3"/>
  <c r="CB362" i="3"/>
  <c r="CA362" i="3"/>
  <c r="BZ362" i="3"/>
  <c r="BY362" i="3"/>
  <c r="BX362" i="3"/>
  <c r="BW362" i="3"/>
  <c r="BV362" i="3"/>
  <c r="BU362" i="3"/>
  <c r="BT362" i="3"/>
  <c r="BS362" i="3"/>
  <c r="BR362" i="3"/>
  <c r="BQ362" i="3"/>
  <c r="BP362" i="3"/>
  <c r="BO362" i="3"/>
  <c r="BN362" i="3"/>
  <c r="E362" i="3"/>
  <c r="D362" i="3"/>
  <c r="C362" i="3"/>
  <c r="B362" i="3"/>
  <c r="A362" i="3"/>
  <c r="DU361" i="3"/>
  <c r="DT361" i="3"/>
  <c r="DS361" i="3"/>
  <c r="DR361" i="3"/>
  <c r="DQ361" i="3"/>
  <c r="DP361" i="3"/>
  <c r="DO361" i="3"/>
  <c r="DN361" i="3"/>
  <c r="DM361" i="3"/>
  <c r="DL361" i="3"/>
  <c r="DK361" i="3"/>
  <c r="DJ361" i="3"/>
  <c r="DI361" i="3"/>
  <c r="DH361" i="3"/>
  <c r="DG361" i="3"/>
  <c r="DF361" i="3"/>
  <c r="DE361" i="3"/>
  <c r="DD361" i="3"/>
  <c r="DC361" i="3"/>
  <c r="DB361" i="3"/>
  <c r="DA361" i="3"/>
  <c r="CZ361" i="3"/>
  <c r="CY361" i="3"/>
  <c r="CX361" i="3"/>
  <c r="CW361" i="3"/>
  <c r="CV361" i="3"/>
  <c r="CU361" i="3"/>
  <c r="CT361" i="3"/>
  <c r="CS361" i="3"/>
  <c r="CR361" i="3"/>
  <c r="CQ361" i="3"/>
  <c r="CP361" i="3"/>
  <c r="CO361" i="3"/>
  <c r="CN361" i="3"/>
  <c r="CM361" i="3"/>
  <c r="CL361" i="3"/>
  <c r="CK361" i="3"/>
  <c r="CJ361" i="3"/>
  <c r="CI361" i="3"/>
  <c r="CH361" i="3"/>
  <c r="CG361" i="3"/>
  <c r="CF361" i="3"/>
  <c r="CE361" i="3"/>
  <c r="CD361" i="3"/>
  <c r="CC361" i="3"/>
  <c r="CB361" i="3"/>
  <c r="CA361" i="3"/>
  <c r="BZ361" i="3"/>
  <c r="BY361" i="3"/>
  <c r="BX361" i="3"/>
  <c r="BW361" i="3"/>
  <c r="BV361" i="3"/>
  <c r="BU361" i="3"/>
  <c r="BT361" i="3"/>
  <c r="BS361" i="3"/>
  <c r="BR361" i="3"/>
  <c r="BQ361" i="3"/>
  <c r="BP361" i="3"/>
  <c r="BO361" i="3"/>
  <c r="BN361" i="3"/>
  <c r="A361" i="3"/>
  <c r="DU360" i="3"/>
  <c r="DT360" i="3"/>
  <c r="DS360" i="3"/>
  <c r="DR360" i="3"/>
  <c r="DQ360" i="3"/>
  <c r="DP360" i="3"/>
  <c r="DO360" i="3"/>
  <c r="DN360" i="3"/>
  <c r="DM360" i="3"/>
  <c r="DL360" i="3"/>
  <c r="DK360" i="3"/>
  <c r="DJ360" i="3"/>
  <c r="DI360" i="3"/>
  <c r="DH360" i="3"/>
  <c r="DG360" i="3"/>
  <c r="DF360" i="3"/>
  <c r="DE360" i="3"/>
  <c r="DD360" i="3"/>
  <c r="DC360" i="3"/>
  <c r="DB360" i="3"/>
  <c r="DA360" i="3"/>
  <c r="CZ360" i="3"/>
  <c r="CY360" i="3"/>
  <c r="CX360" i="3"/>
  <c r="CW360" i="3"/>
  <c r="CV360" i="3"/>
  <c r="CU360" i="3"/>
  <c r="CT360" i="3"/>
  <c r="CS360" i="3"/>
  <c r="CR360" i="3"/>
  <c r="CQ360" i="3"/>
  <c r="CP360" i="3"/>
  <c r="CO360" i="3"/>
  <c r="CN360" i="3"/>
  <c r="CM360" i="3"/>
  <c r="CL360" i="3"/>
  <c r="CK360" i="3"/>
  <c r="CJ360" i="3"/>
  <c r="CI360" i="3"/>
  <c r="CH360" i="3"/>
  <c r="CG360" i="3"/>
  <c r="CF360" i="3"/>
  <c r="CE360" i="3"/>
  <c r="CD360" i="3"/>
  <c r="CC360" i="3"/>
  <c r="CB360" i="3"/>
  <c r="CA360" i="3"/>
  <c r="BZ360" i="3"/>
  <c r="BY360" i="3"/>
  <c r="BX360" i="3"/>
  <c r="BW360" i="3"/>
  <c r="BV360" i="3"/>
  <c r="BU360" i="3"/>
  <c r="BT360" i="3"/>
  <c r="BS360" i="3"/>
  <c r="BR360" i="3"/>
  <c r="BQ360" i="3"/>
  <c r="BP360" i="3"/>
  <c r="BO360" i="3"/>
  <c r="BN360" i="3"/>
  <c r="C360" i="3"/>
  <c r="B360" i="3"/>
  <c r="A360" i="3"/>
  <c r="DU359" i="3"/>
  <c r="DT359" i="3"/>
  <c r="DS359" i="3"/>
  <c r="DR359" i="3"/>
  <c r="DQ359" i="3"/>
  <c r="DP359" i="3"/>
  <c r="DO359" i="3"/>
  <c r="DN359" i="3"/>
  <c r="DM359" i="3"/>
  <c r="DL359" i="3"/>
  <c r="DK359" i="3"/>
  <c r="DJ359" i="3"/>
  <c r="DI359" i="3"/>
  <c r="DH359" i="3"/>
  <c r="DG359" i="3"/>
  <c r="DF359" i="3"/>
  <c r="DE359" i="3"/>
  <c r="DD359" i="3"/>
  <c r="DC359" i="3"/>
  <c r="DB359" i="3"/>
  <c r="DA359" i="3"/>
  <c r="CZ359" i="3"/>
  <c r="CY359" i="3"/>
  <c r="CX359" i="3"/>
  <c r="CW359" i="3"/>
  <c r="CV359" i="3"/>
  <c r="CU359" i="3"/>
  <c r="CT359" i="3"/>
  <c r="CS359" i="3"/>
  <c r="CR359" i="3"/>
  <c r="CQ359" i="3"/>
  <c r="CP359" i="3"/>
  <c r="CO359" i="3"/>
  <c r="CN359" i="3"/>
  <c r="CM359" i="3"/>
  <c r="CL359" i="3"/>
  <c r="CK359" i="3"/>
  <c r="CJ359" i="3"/>
  <c r="CI359" i="3"/>
  <c r="CH359" i="3"/>
  <c r="CG359" i="3"/>
  <c r="CF359" i="3"/>
  <c r="CE359" i="3"/>
  <c r="CD359" i="3"/>
  <c r="CC359" i="3"/>
  <c r="CB359" i="3"/>
  <c r="CA359" i="3"/>
  <c r="BZ359" i="3"/>
  <c r="BY359" i="3"/>
  <c r="BX359" i="3"/>
  <c r="BW359" i="3"/>
  <c r="BV359" i="3"/>
  <c r="BU359" i="3"/>
  <c r="BT359" i="3"/>
  <c r="BS359" i="3"/>
  <c r="BR359" i="3"/>
  <c r="BQ359" i="3"/>
  <c r="BP359" i="3"/>
  <c r="BO359" i="3"/>
  <c r="BN359" i="3"/>
  <c r="DU358" i="3"/>
  <c r="DT358" i="3"/>
  <c r="DS358" i="3"/>
  <c r="DR358" i="3"/>
  <c r="DQ358" i="3"/>
  <c r="DP358" i="3"/>
  <c r="DO358" i="3"/>
  <c r="DN358" i="3"/>
  <c r="DM358" i="3"/>
  <c r="DL358" i="3"/>
  <c r="DK358" i="3"/>
  <c r="DJ358" i="3"/>
  <c r="DI358" i="3"/>
  <c r="DH358" i="3"/>
  <c r="DG358" i="3"/>
  <c r="DF358" i="3"/>
  <c r="DE358" i="3"/>
  <c r="DD358" i="3"/>
  <c r="DC358" i="3"/>
  <c r="DB358" i="3"/>
  <c r="DA358" i="3"/>
  <c r="CZ358" i="3"/>
  <c r="CY358" i="3"/>
  <c r="CX358" i="3"/>
  <c r="CW358" i="3"/>
  <c r="CV358" i="3"/>
  <c r="CU358" i="3"/>
  <c r="CT358" i="3"/>
  <c r="CS358" i="3"/>
  <c r="CR358" i="3"/>
  <c r="CQ358" i="3"/>
  <c r="CP358" i="3"/>
  <c r="CO358" i="3"/>
  <c r="CN358" i="3"/>
  <c r="CM358" i="3"/>
  <c r="CL358" i="3"/>
  <c r="CK358" i="3"/>
  <c r="CJ358" i="3"/>
  <c r="CI358" i="3"/>
  <c r="CH358" i="3"/>
  <c r="CG358" i="3"/>
  <c r="CF358" i="3"/>
  <c r="CE358" i="3"/>
  <c r="CD358" i="3"/>
  <c r="CC358" i="3"/>
  <c r="CB358" i="3"/>
  <c r="CA358" i="3"/>
  <c r="BZ358" i="3"/>
  <c r="BY358" i="3"/>
  <c r="BX358" i="3"/>
  <c r="BW358" i="3"/>
  <c r="BV358" i="3"/>
  <c r="BU358" i="3"/>
  <c r="BT358" i="3"/>
  <c r="BS358" i="3"/>
  <c r="BR358" i="3"/>
  <c r="BQ358" i="3"/>
  <c r="BP358" i="3"/>
  <c r="BO358" i="3"/>
  <c r="BN358" i="3"/>
  <c r="E358" i="3"/>
  <c r="B358" i="3"/>
  <c r="A358" i="3"/>
  <c r="DU357" i="3"/>
  <c r="DT357" i="3"/>
  <c r="DS357" i="3"/>
  <c r="DR357" i="3"/>
  <c r="DQ357" i="3"/>
  <c r="DP357" i="3"/>
  <c r="DO357" i="3"/>
  <c r="DN357" i="3"/>
  <c r="DM357" i="3"/>
  <c r="DL357" i="3"/>
  <c r="DK357" i="3"/>
  <c r="DJ357" i="3"/>
  <c r="DI357" i="3"/>
  <c r="DH357" i="3"/>
  <c r="DG357" i="3"/>
  <c r="DF357" i="3"/>
  <c r="DE357" i="3"/>
  <c r="DD357" i="3"/>
  <c r="DC357" i="3"/>
  <c r="DB357" i="3"/>
  <c r="DA357" i="3"/>
  <c r="CZ357" i="3"/>
  <c r="CY357" i="3"/>
  <c r="CX357" i="3"/>
  <c r="CW357" i="3"/>
  <c r="CV357" i="3"/>
  <c r="CU357" i="3"/>
  <c r="CT357" i="3"/>
  <c r="CS357" i="3"/>
  <c r="CR357" i="3"/>
  <c r="CQ357" i="3"/>
  <c r="CP357" i="3"/>
  <c r="CO357" i="3"/>
  <c r="CN357" i="3"/>
  <c r="CM357" i="3"/>
  <c r="CL357" i="3"/>
  <c r="CK357" i="3"/>
  <c r="CJ357" i="3"/>
  <c r="CI357" i="3"/>
  <c r="CH357" i="3"/>
  <c r="CG357" i="3"/>
  <c r="CF357" i="3"/>
  <c r="CE357" i="3"/>
  <c r="CD357" i="3"/>
  <c r="CC357" i="3"/>
  <c r="CB357" i="3"/>
  <c r="CA357" i="3"/>
  <c r="BZ357" i="3"/>
  <c r="BY357" i="3"/>
  <c r="BX357" i="3"/>
  <c r="BW357" i="3"/>
  <c r="BV357" i="3"/>
  <c r="BU357" i="3"/>
  <c r="BT357" i="3"/>
  <c r="BS357" i="3"/>
  <c r="BR357" i="3"/>
  <c r="BQ357" i="3"/>
  <c r="BP357" i="3"/>
  <c r="BO357" i="3"/>
  <c r="BN357" i="3"/>
  <c r="D357" i="3"/>
  <c r="C357" i="3"/>
  <c r="B357" i="3"/>
  <c r="A357" i="3"/>
  <c r="DU356" i="3"/>
  <c r="DT356" i="3"/>
  <c r="DS356" i="3"/>
  <c r="DR356" i="3"/>
  <c r="DQ356" i="3"/>
  <c r="DP356" i="3"/>
  <c r="DO356" i="3"/>
  <c r="DN356" i="3"/>
  <c r="DM356" i="3"/>
  <c r="DL356" i="3"/>
  <c r="DK356" i="3"/>
  <c r="DJ356" i="3"/>
  <c r="DI356" i="3"/>
  <c r="DH356" i="3"/>
  <c r="DG356" i="3"/>
  <c r="DF356" i="3"/>
  <c r="DE356" i="3"/>
  <c r="DD356" i="3"/>
  <c r="DC356" i="3"/>
  <c r="DB356" i="3"/>
  <c r="DA356" i="3"/>
  <c r="CZ356" i="3"/>
  <c r="CY356" i="3"/>
  <c r="CX356" i="3"/>
  <c r="CW356" i="3"/>
  <c r="CV356" i="3"/>
  <c r="CU356" i="3"/>
  <c r="CT356" i="3"/>
  <c r="CS356" i="3"/>
  <c r="CR356" i="3"/>
  <c r="CQ356" i="3"/>
  <c r="CP356" i="3"/>
  <c r="CO356" i="3"/>
  <c r="CN356" i="3"/>
  <c r="CM356" i="3"/>
  <c r="CL356" i="3"/>
  <c r="CK356" i="3"/>
  <c r="CJ356" i="3"/>
  <c r="CI356" i="3"/>
  <c r="CH356" i="3"/>
  <c r="CG356" i="3"/>
  <c r="CF356" i="3"/>
  <c r="CE356" i="3"/>
  <c r="CD356" i="3"/>
  <c r="CC356" i="3"/>
  <c r="CB356" i="3"/>
  <c r="CA356" i="3"/>
  <c r="BZ356" i="3"/>
  <c r="BY356" i="3"/>
  <c r="BX356" i="3"/>
  <c r="BW356" i="3"/>
  <c r="BV356" i="3"/>
  <c r="BU356" i="3"/>
  <c r="BT356" i="3"/>
  <c r="BS356" i="3"/>
  <c r="BR356" i="3"/>
  <c r="BQ356" i="3"/>
  <c r="BP356" i="3"/>
  <c r="BO356" i="3"/>
  <c r="BN356" i="3"/>
  <c r="A356" i="3"/>
  <c r="DU355" i="3"/>
  <c r="DT355" i="3"/>
  <c r="DS355" i="3"/>
  <c r="DR355" i="3"/>
  <c r="DQ355" i="3"/>
  <c r="DP355" i="3"/>
  <c r="DO355" i="3"/>
  <c r="DN355" i="3"/>
  <c r="DM355" i="3"/>
  <c r="DL355" i="3"/>
  <c r="DK355" i="3"/>
  <c r="DJ355" i="3"/>
  <c r="DI355" i="3"/>
  <c r="DH355" i="3"/>
  <c r="DG355" i="3"/>
  <c r="DF355" i="3"/>
  <c r="DE355" i="3"/>
  <c r="DD355" i="3"/>
  <c r="DC355" i="3"/>
  <c r="DB355" i="3"/>
  <c r="DA355" i="3"/>
  <c r="CZ355" i="3"/>
  <c r="CY355" i="3"/>
  <c r="CX355" i="3"/>
  <c r="CW355" i="3"/>
  <c r="CV355" i="3"/>
  <c r="CU355" i="3"/>
  <c r="CT355" i="3"/>
  <c r="CS355" i="3"/>
  <c r="CR355" i="3"/>
  <c r="CQ355" i="3"/>
  <c r="CP355" i="3"/>
  <c r="CO355" i="3"/>
  <c r="CN355" i="3"/>
  <c r="CM355" i="3"/>
  <c r="CL355" i="3"/>
  <c r="CK355" i="3"/>
  <c r="CJ355" i="3"/>
  <c r="CI355" i="3"/>
  <c r="CH355" i="3"/>
  <c r="CG355" i="3"/>
  <c r="CF355" i="3"/>
  <c r="CE355" i="3"/>
  <c r="CD355" i="3"/>
  <c r="CC355" i="3"/>
  <c r="CB355" i="3"/>
  <c r="CA355" i="3"/>
  <c r="BZ355" i="3"/>
  <c r="BY355" i="3"/>
  <c r="BX355" i="3"/>
  <c r="BW355" i="3"/>
  <c r="BV355" i="3"/>
  <c r="BU355" i="3"/>
  <c r="BT355" i="3"/>
  <c r="BS355" i="3"/>
  <c r="BR355" i="3"/>
  <c r="BQ355" i="3"/>
  <c r="BP355" i="3"/>
  <c r="BO355" i="3"/>
  <c r="BN355" i="3"/>
  <c r="DU354" i="3"/>
  <c r="DT354" i="3"/>
  <c r="DS354" i="3"/>
  <c r="DR354" i="3"/>
  <c r="DQ354" i="3"/>
  <c r="DP354" i="3"/>
  <c r="DO354" i="3"/>
  <c r="DN354" i="3"/>
  <c r="DM354" i="3"/>
  <c r="DL354" i="3"/>
  <c r="DK354" i="3"/>
  <c r="DJ354" i="3"/>
  <c r="DI354" i="3"/>
  <c r="DH354" i="3"/>
  <c r="DG354" i="3"/>
  <c r="DF354" i="3"/>
  <c r="DE354" i="3"/>
  <c r="DD354" i="3"/>
  <c r="DC354" i="3"/>
  <c r="DB354" i="3"/>
  <c r="DA354" i="3"/>
  <c r="CZ354" i="3"/>
  <c r="CY354" i="3"/>
  <c r="CX354" i="3"/>
  <c r="CW354" i="3"/>
  <c r="CV354" i="3"/>
  <c r="CU354" i="3"/>
  <c r="CT354" i="3"/>
  <c r="CS354" i="3"/>
  <c r="CR354" i="3"/>
  <c r="CQ354" i="3"/>
  <c r="CP354" i="3"/>
  <c r="CO354" i="3"/>
  <c r="CN354" i="3"/>
  <c r="CM354" i="3"/>
  <c r="CL354" i="3"/>
  <c r="CK354" i="3"/>
  <c r="CJ354" i="3"/>
  <c r="CI354" i="3"/>
  <c r="CH354" i="3"/>
  <c r="CG354" i="3"/>
  <c r="CF354" i="3"/>
  <c r="CE354" i="3"/>
  <c r="CD354" i="3"/>
  <c r="CC354" i="3"/>
  <c r="CB354" i="3"/>
  <c r="CA354" i="3"/>
  <c r="BZ354" i="3"/>
  <c r="BY354" i="3"/>
  <c r="BX354" i="3"/>
  <c r="BW354" i="3"/>
  <c r="BV354" i="3"/>
  <c r="BU354" i="3"/>
  <c r="BT354" i="3"/>
  <c r="BS354" i="3"/>
  <c r="BR354" i="3"/>
  <c r="BQ354" i="3"/>
  <c r="BP354" i="3"/>
  <c r="BO354" i="3"/>
  <c r="BN354" i="3"/>
  <c r="DU353" i="3"/>
  <c r="DT353" i="3"/>
  <c r="DS353" i="3"/>
  <c r="DR353" i="3"/>
  <c r="DQ353" i="3"/>
  <c r="DP353" i="3"/>
  <c r="DO353" i="3"/>
  <c r="DN353" i="3"/>
  <c r="DM353" i="3"/>
  <c r="DL353" i="3"/>
  <c r="DK353" i="3"/>
  <c r="DJ353" i="3"/>
  <c r="DI353" i="3"/>
  <c r="DH353" i="3"/>
  <c r="DG353" i="3"/>
  <c r="DF353" i="3"/>
  <c r="DE353" i="3"/>
  <c r="DD353" i="3"/>
  <c r="DC353" i="3"/>
  <c r="DB353" i="3"/>
  <c r="DA353" i="3"/>
  <c r="CZ353" i="3"/>
  <c r="CY353" i="3"/>
  <c r="CX353" i="3"/>
  <c r="CW353" i="3"/>
  <c r="CV353" i="3"/>
  <c r="CU353" i="3"/>
  <c r="CT353" i="3"/>
  <c r="CS353" i="3"/>
  <c r="CR353" i="3"/>
  <c r="CQ353" i="3"/>
  <c r="CP353" i="3"/>
  <c r="CO353" i="3"/>
  <c r="CN353" i="3"/>
  <c r="CM353" i="3"/>
  <c r="CL353" i="3"/>
  <c r="CK353" i="3"/>
  <c r="CJ353" i="3"/>
  <c r="CI353" i="3"/>
  <c r="CH353" i="3"/>
  <c r="CG353" i="3"/>
  <c r="CF353" i="3"/>
  <c r="CE353" i="3"/>
  <c r="CD353" i="3"/>
  <c r="CC353" i="3"/>
  <c r="CB353" i="3"/>
  <c r="CA353" i="3"/>
  <c r="BZ353" i="3"/>
  <c r="BY353" i="3"/>
  <c r="BX353" i="3"/>
  <c r="BW353" i="3"/>
  <c r="BV353" i="3"/>
  <c r="BU353" i="3"/>
  <c r="BT353" i="3"/>
  <c r="BS353" i="3"/>
  <c r="BR353" i="3"/>
  <c r="BQ353" i="3"/>
  <c r="BP353" i="3"/>
  <c r="BO353" i="3"/>
  <c r="BN353" i="3"/>
  <c r="D353" i="3"/>
  <c r="C353" i="3"/>
  <c r="DU352" i="3"/>
  <c r="DT352" i="3"/>
  <c r="DS352" i="3"/>
  <c r="DR352" i="3"/>
  <c r="DQ352" i="3"/>
  <c r="DP352" i="3"/>
  <c r="DO352" i="3"/>
  <c r="DN352" i="3"/>
  <c r="DM352" i="3"/>
  <c r="DL352" i="3"/>
  <c r="DK352" i="3"/>
  <c r="DJ352" i="3"/>
  <c r="DI352" i="3"/>
  <c r="DH352" i="3"/>
  <c r="DG352" i="3"/>
  <c r="DF352" i="3"/>
  <c r="DE352" i="3"/>
  <c r="DD352" i="3"/>
  <c r="DC352" i="3"/>
  <c r="DB352" i="3"/>
  <c r="DA352" i="3"/>
  <c r="CZ352" i="3"/>
  <c r="CY352" i="3"/>
  <c r="CX352" i="3"/>
  <c r="CW352" i="3"/>
  <c r="CV352" i="3"/>
  <c r="CU352" i="3"/>
  <c r="CT352" i="3"/>
  <c r="CS352" i="3"/>
  <c r="CR352" i="3"/>
  <c r="CQ352" i="3"/>
  <c r="CP352" i="3"/>
  <c r="CO352" i="3"/>
  <c r="CN352" i="3"/>
  <c r="CM352" i="3"/>
  <c r="CL352" i="3"/>
  <c r="CK352" i="3"/>
  <c r="CJ352" i="3"/>
  <c r="CI352" i="3"/>
  <c r="CH352" i="3"/>
  <c r="CG352" i="3"/>
  <c r="CF352" i="3"/>
  <c r="CE352" i="3"/>
  <c r="CD352" i="3"/>
  <c r="CC352" i="3"/>
  <c r="CB352" i="3"/>
  <c r="CA352" i="3"/>
  <c r="BZ352" i="3"/>
  <c r="BY352" i="3"/>
  <c r="BX352" i="3"/>
  <c r="BW352" i="3"/>
  <c r="BV352" i="3"/>
  <c r="BU352" i="3"/>
  <c r="BT352" i="3"/>
  <c r="BS352" i="3"/>
  <c r="BR352" i="3"/>
  <c r="BQ352" i="3"/>
  <c r="BP352" i="3"/>
  <c r="BO352" i="3"/>
  <c r="BN352" i="3"/>
  <c r="E352" i="3"/>
  <c r="D352" i="3"/>
  <c r="C352" i="3"/>
  <c r="B352" i="3"/>
  <c r="A352" i="3"/>
  <c r="DU351" i="3"/>
  <c r="DT351" i="3"/>
  <c r="DS351" i="3"/>
  <c r="DR351" i="3"/>
  <c r="DQ351" i="3"/>
  <c r="DP351" i="3"/>
  <c r="DO351" i="3"/>
  <c r="DN351" i="3"/>
  <c r="DM351" i="3"/>
  <c r="DL351" i="3"/>
  <c r="DK351" i="3"/>
  <c r="DJ351" i="3"/>
  <c r="DI351" i="3"/>
  <c r="DH351" i="3"/>
  <c r="DG351" i="3"/>
  <c r="DF351" i="3"/>
  <c r="DE351" i="3"/>
  <c r="DD351" i="3"/>
  <c r="DC351" i="3"/>
  <c r="DB351" i="3"/>
  <c r="DA351" i="3"/>
  <c r="CZ351" i="3"/>
  <c r="CY351" i="3"/>
  <c r="CX351" i="3"/>
  <c r="CW351" i="3"/>
  <c r="CV351" i="3"/>
  <c r="CU351" i="3"/>
  <c r="CT351" i="3"/>
  <c r="CS351" i="3"/>
  <c r="CR351" i="3"/>
  <c r="CQ351" i="3"/>
  <c r="CP351" i="3"/>
  <c r="CO351" i="3"/>
  <c r="CN351" i="3"/>
  <c r="CM351" i="3"/>
  <c r="CL351" i="3"/>
  <c r="CK351" i="3"/>
  <c r="CJ351" i="3"/>
  <c r="CI351" i="3"/>
  <c r="CH351" i="3"/>
  <c r="CG351" i="3"/>
  <c r="CF351" i="3"/>
  <c r="CE351" i="3"/>
  <c r="CD351" i="3"/>
  <c r="CC351" i="3"/>
  <c r="CB351" i="3"/>
  <c r="CA351" i="3"/>
  <c r="BZ351" i="3"/>
  <c r="BY351" i="3"/>
  <c r="BX351" i="3"/>
  <c r="BW351" i="3"/>
  <c r="BV351" i="3"/>
  <c r="BU351" i="3"/>
  <c r="BT351" i="3"/>
  <c r="BS351" i="3"/>
  <c r="BR351" i="3"/>
  <c r="BQ351" i="3"/>
  <c r="BP351" i="3"/>
  <c r="BO351" i="3"/>
  <c r="BN351" i="3"/>
  <c r="B351" i="3"/>
  <c r="DU350" i="3"/>
  <c r="DT350" i="3"/>
  <c r="DS350" i="3"/>
  <c r="DR350" i="3"/>
  <c r="DQ350" i="3"/>
  <c r="DP350" i="3"/>
  <c r="DO350" i="3"/>
  <c r="DN350" i="3"/>
  <c r="DM350" i="3"/>
  <c r="DL350" i="3"/>
  <c r="DK350" i="3"/>
  <c r="DJ350" i="3"/>
  <c r="DI350" i="3"/>
  <c r="DH350" i="3"/>
  <c r="DG350" i="3"/>
  <c r="DF350" i="3"/>
  <c r="DE350" i="3"/>
  <c r="DD350" i="3"/>
  <c r="DC350" i="3"/>
  <c r="DB350" i="3"/>
  <c r="DA350" i="3"/>
  <c r="CZ350" i="3"/>
  <c r="CY350" i="3"/>
  <c r="CX350" i="3"/>
  <c r="CW350" i="3"/>
  <c r="CV350" i="3"/>
  <c r="CU350" i="3"/>
  <c r="CT350" i="3"/>
  <c r="CS350" i="3"/>
  <c r="CR350" i="3"/>
  <c r="CQ350" i="3"/>
  <c r="CP350" i="3"/>
  <c r="CO350" i="3"/>
  <c r="CN350" i="3"/>
  <c r="CM350" i="3"/>
  <c r="CL350" i="3"/>
  <c r="CK350" i="3"/>
  <c r="CJ350" i="3"/>
  <c r="CI350" i="3"/>
  <c r="CH350" i="3"/>
  <c r="CG350" i="3"/>
  <c r="CF350" i="3"/>
  <c r="CE350" i="3"/>
  <c r="CD350" i="3"/>
  <c r="CC350" i="3"/>
  <c r="CB350" i="3"/>
  <c r="CA350" i="3"/>
  <c r="BZ350" i="3"/>
  <c r="BY350" i="3"/>
  <c r="BX350" i="3"/>
  <c r="BW350" i="3"/>
  <c r="BV350" i="3"/>
  <c r="BU350" i="3"/>
  <c r="BT350" i="3"/>
  <c r="BS350" i="3"/>
  <c r="BR350" i="3"/>
  <c r="BQ350" i="3"/>
  <c r="BP350" i="3"/>
  <c r="BO350" i="3"/>
  <c r="BN350" i="3"/>
  <c r="C350" i="3"/>
  <c r="B350" i="3"/>
  <c r="A350" i="3"/>
  <c r="DU349" i="3"/>
  <c r="DT349" i="3"/>
  <c r="DS349" i="3"/>
  <c r="DR349" i="3"/>
  <c r="DQ349" i="3"/>
  <c r="DP349" i="3"/>
  <c r="DO349" i="3"/>
  <c r="DN349" i="3"/>
  <c r="DM349" i="3"/>
  <c r="DL349" i="3"/>
  <c r="DK349" i="3"/>
  <c r="DJ349" i="3"/>
  <c r="DI349" i="3"/>
  <c r="DH349" i="3"/>
  <c r="DG349" i="3"/>
  <c r="DF349" i="3"/>
  <c r="DE349" i="3"/>
  <c r="DD349" i="3"/>
  <c r="DC349" i="3"/>
  <c r="DB349" i="3"/>
  <c r="DA349" i="3"/>
  <c r="CZ349" i="3"/>
  <c r="CY349" i="3"/>
  <c r="CX349" i="3"/>
  <c r="CW349" i="3"/>
  <c r="CV349" i="3"/>
  <c r="CU349" i="3"/>
  <c r="CT349" i="3"/>
  <c r="CS349" i="3"/>
  <c r="CR349" i="3"/>
  <c r="CQ349" i="3"/>
  <c r="CP349" i="3"/>
  <c r="CO349" i="3"/>
  <c r="CN349" i="3"/>
  <c r="CM349" i="3"/>
  <c r="CL349" i="3"/>
  <c r="CK349" i="3"/>
  <c r="CJ349" i="3"/>
  <c r="CI349" i="3"/>
  <c r="CH349" i="3"/>
  <c r="CG349" i="3"/>
  <c r="CF349" i="3"/>
  <c r="CE349" i="3"/>
  <c r="CD349" i="3"/>
  <c r="CC349" i="3"/>
  <c r="CB349" i="3"/>
  <c r="CA349" i="3"/>
  <c r="BZ349" i="3"/>
  <c r="BY349" i="3"/>
  <c r="BX349" i="3"/>
  <c r="BW349" i="3"/>
  <c r="BV349" i="3"/>
  <c r="BU349" i="3"/>
  <c r="BT349" i="3"/>
  <c r="BS349" i="3"/>
  <c r="BR349" i="3"/>
  <c r="BQ349" i="3"/>
  <c r="BP349" i="3"/>
  <c r="BO349" i="3"/>
  <c r="BN349" i="3"/>
  <c r="B349" i="3"/>
  <c r="A349" i="3"/>
  <c r="DU348" i="3"/>
  <c r="DT348" i="3"/>
  <c r="DS348" i="3"/>
  <c r="DR348" i="3"/>
  <c r="DQ348" i="3"/>
  <c r="DP348" i="3"/>
  <c r="DO348" i="3"/>
  <c r="DN348" i="3"/>
  <c r="DM348" i="3"/>
  <c r="DL348" i="3"/>
  <c r="DK348" i="3"/>
  <c r="DJ348" i="3"/>
  <c r="DI348" i="3"/>
  <c r="DH348" i="3"/>
  <c r="DG348" i="3"/>
  <c r="DF348" i="3"/>
  <c r="DE348" i="3"/>
  <c r="DD348" i="3"/>
  <c r="DC348" i="3"/>
  <c r="DB348" i="3"/>
  <c r="DA348" i="3"/>
  <c r="CZ348" i="3"/>
  <c r="CY348" i="3"/>
  <c r="CX348" i="3"/>
  <c r="CW348" i="3"/>
  <c r="CV348" i="3"/>
  <c r="CU348" i="3"/>
  <c r="CT348" i="3"/>
  <c r="CS348" i="3"/>
  <c r="CR348" i="3"/>
  <c r="CQ348" i="3"/>
  <c r="CP348" i="3"/>
  <c r="CO348" i="3"/>
  <c r="CN348" i="3"/>
  <c r="CM348" i="3"/>
  <c r="CL348" i="3"/>
  <c r="CK348" i="3"/>
  <c r="CJ348" i="3"/>
  <c r="CI348" i="3"/>
  <c r="CH348" i="3"/>
  <c r="CG348" i="3"/>
  <c r="CF348" i="3"/>
  <c r="CE348" i="3"/>
  <c r="CD348" i="3"/>
  <c r="CC348" i="3"/>
  <c r="CB348" i="3"/>
  <c r="CA348" i="3"/>
  <c r="BZ348" i="3"/>
  <c r="BY348" i="3"/>
  <c r="BX348" i="3"/>
  <c r="BW348" i="3"/>
  <c r="BV348" i="3"/>
  <c r="BU348" i="3"/>
  <c r="BT348" i="3"/>
  <c r="BS348" i="3"/>
  <c r="BR348" i="3"/>
  <c r="BQ348" i="3"/>
  <c r="BP348" i="3"/>
  <c r="BO348" i="3"/>
  <c r="BN348" i="3"/>
  <c r="E348" i="3"/>
  <c r="C348" i="3"/>
  <c r="B348" i="3"/>
  <c r="A348" i="3"/>
  <c r="DU347" i="3"/>
  <c r="DT347" i="3"/>
  <c r="DS347" i="3"/>
  <c r="DR347" i="3"/>
  <c r="DQ347" i="3"/>
  <c r="DP347" i="3"/>
  <c r="DO347" i="3"/>
  <c r="DN347" i="3"/>
  <c r="DM347" i="3"/>
  <c r="DL347" i="3"/>
  <c r="DK347" i="3"/>
  <c r="DJ347" i="3"/>
  <c r="DI347" i="3"/>
  <c r="DH347" i="3"/>
  <c r="DG347" i="3"/>
  <c r="DF347" i="3"/>
  <c r="DE347" i="3"/>
  <c r="DD347" i="3"/>
  <c r="DC347" i="3"/>
  <c r="DB347" i="3"/>
  <c r="DA347" i="3"/>
  <c r="CZ347" i="3"/>
  <c r="CY347" i="3"/>
  <c r="CX347" i="3"/>
  <c r="CW347" i="3"/>
  <c r="CV347" i="3"/>
  <c r="CU347" i="3"/>
  <c r="CT347" i="3"/>
  <c r="CS347" i="3"/>
  <c r="CR347" i="3"/>
  <c r="CQ347" i="3"/>
  <c r="CP347" i="3"/>
  <c r="CO347" i="3"/>
  <c r="CN347" i="3"/>
  <c r="CM347" i="3"/>
  <c r="CL347" i="3"/>
  <c r="CK347" i="3"/>
  <c r="CJ347" i="3"/>
  <c r="CI347" i="3"/>
  <c r="CH347" i="3"/>
  <c r="CG347" i="3"/>
  <c r="CF347" i="3"/>
  <c r="CE347" i="3"/>
  <c r="CD347" i="3"/>
  <c r="CC347" i="3"/>
  <c r="CB347" i="3"/>
  <c r="CA347" i="3"/>
  <c r="BZ347" i="3"/>
  <c r="BY347" i="3"/>
  <c r="BX347" i="3"/>
  <c r="BW347" i="3"/>
  <c r="BV347" i="3"/>
  <c r="BU347" i="3"/>
  <c r="BT347" i="3"/>
  <c r="BS347" i="3"/>
  <c r="BR347" i="3"/>
  <c r="BQ347" i="3"/>
  <c r="BP347" i="3"/>
  <c r="BO347" i="3"/>
  <c r="BN347" i="3"/>
  <c r="C347" i="3"/>
  <c r="B347" i="3"/>
  <c r="DU346" i="3"/>
  <c r="DT346" i="3"/>
  <c r="DS346" i="3"/>
  <c r="DR346" i="3"/>
  <c r="DQ346" i="3"/>
  <c r="DP346" i="3"/>
  <c r="DO346" i="3"/>
  <c r="DN346" i="3"/>
  <c r="DM346" i="3"/>
  <c r="DL346" i="3"/>
  <c r="DK346" i="3"/>
  <c r="DJ346" i="3"/>
  <c r="DI346" i="3"/>
  <c r="DH346" i="3"/>
  <c r="DG346" i="3"/>
  <c r="DF346" i="3"/>
  <c r="DE346" i="3"/>
  <c r="DD346" i="3"/>
  <c r="DC346" i="3"/>
  <c r="DB346" i="3"/>
  <c r="DA346" i="3"/>
  <c r="CZ346" i="3"/>
  <c r="CY346" i="3"/>
  <c r="CX346" i="3"/>
  <c r="CW346" i="3"/>
  <c r="CV346" i="3"/>
  <c r="CU346" i="3"/>
  <c r="CT346" i="3"/>
  <c r="CS346" i="3"/>
  <c r="CR346" i="3"/>
  <c r="CQ346" i="3"/>
  <c r="CP346" i="3"/>
  <c r="CO346" i="3"/>
  <c r="CN346" i="3"/>
  <c r="CM346" i="3"/>
  <c r="CL346" i="3"/>
  <c r="CK346" i="3"/>
  <c r="CJ346" i="3"/>
  <c r="CI346" i="3"/>
  <c r="CH346" i="3"/>
  <c r="CG346" i="3"/>
  <c r="CF346" i="3"/>
  <c r="CE346" i="3"/>
  <c r="CD346" i="3"/>
  <c r="CC346" i="3"/>
  <c r="CB346" i="3"/>
  <c r="CA346" i="3"/>
  <c r="BZ346" i="3"/>
  <c r="BY346" i="3"/>
  <c r="BX346" i="3"/>
  <c r="BW346" i="3"/>
  <c r="BV346" i="3"/>
  <c r="BU346" i="3"/>
  <c r="BT346" i="3"/>
  <c r="BS346" i="3"/>
  <c r="BR346" i="3"/>
  <c r="BQ346" i="3"/>
  <c r="BP346" i="3"/>
  <c r="BO346" i="3"/>
  <c r="BN346" i="3"/>
  <c r="DU345" i="3"/>
  <c r="DT345" i="3"/>
  <c r="DS345" i="3"/>
  <c r="DR345" i="3"/>
  <c r="DQ345" i="3"/>
  <c r="DP345" i="3"/>
  <c r="DO345" i="3"/>
  <c r="DN345" i="3"/>
  <c r="DM345" i="3"/>
  <c r="DL345" i="3"/>
  <c r="DK345" i="3"/>
  <c r="DJ345" i="3"/>
  <c r="DI345" i="3"/>
  <c r="DH345" i="3"/>
  <c r="DG345" i="3"/>
  <c r="DF345" i="3"/>
  <c r="DE345" i="3"/>
  <c r="DD345" i="3"/>
  <c r="DC345" i="3"/>
  <c r="DB345" i="3"/>
  <c r="DA345" i="3"/>
  <c r="CZ345" i="3"/>
  <c r="CY345" i="3"/>
  <c r="CX345" i="3"/>
  <c r="CW345" i="3"/>
  <c r="CV345" i="3"/>
  <c r="CU345" i="3"/>
  <c r="CT345" i="3"/>
  <c r="CS345" i="3"/>
  <c r="CR345" i="3"/>
  <c r="CQ345" i="3"/>
  <c r="CP345" i="3"/>
  <c r="CO345" i="3"/>
  <c r="CN345" i="3"/>
  <c r="CM345" i="3"/>
  <c r="CL345" i="3"/>
  <c r="CK345" i="3"/>
  <c r="CJ345" i="3"/>
  <c r="CI345" i="3"/>
  <c r="CH345" i="3"/>
  <c r="CG345" i="3"/>
  <c r="CF345" i="3"/>
  <c r="CE345" i="3"/>
  <c r="CD345" i="3"/>
  <c r="CC345" i="3"/>
  <c r="CB345" i="3"/>
  <c r="CA345" i="3"/>
  <c r="BZ345" i="3"/>
  <c r="BY345" i="3"/>
  <c r="BX345" i="3"/>
  <c r="BW345" i="3"/>
  <c r="BV345" i="3"/>
  <c r="BU345" i="3"/>
  <c r="BT345" i="3"/>
  <c r="BS345" i="3"/>
  <c r="BR345" i="3"/>
  <c r="BQ345" i="3"/>
  <c r="BP345" i="3"/>
  <c r="BO345" i="3"/>
  <c r="BN345" i="3"/>
  <c r="C345" i="3"/>
  <c r="B345" i="3"/>
  <c r="A345" i="3"/>
  <c r="DU344" i="3"/>
  <c r="DT344" i="3"/>
  <c r="DS344" i="3"/>
  <c r="DR344" i="3"/>
  <c r="DQ344" i="3"/>
  <c r="DP344" i="3"/>
  <c r="DO344" i="3"/>
  <c r="DN344" i="3"/>
  <c r="DM344" i="3"/>
  <c r="DL344" i="3"/>
  <c r="DK344" i="3"/>
  <c r="DJ344" i="3"/>
  <c r="DI344" i="3"/>
  <c r="DH344" i="3"/>
  <c r="DG344" i="3"/>
  <c r="DF344" i="3"/>
  <c r="DE344" i="3"/>
  <c r="DD344" i="3"/>
  <c r="DC344" i="3"/>
  <c r="DB344" i="3"/>
  <c r="DA344" i="3"/>
  <c r="CZ344" i="3"/>
  <c r="CY344" i="3"/>
  <c r="CX344" i="3"/>
  <c r="CW344" i="3"/>
  <c r="CV344" i="3"/>
  <c r="CU344" i="3"/>
  <c r="CT344" i="3"/>
  <c r="CS344" i="3"/>
  <c r="CR344" i="3"/>
  <c r="CQ344" i="3"/>
  <c r="CP344" i="3"/>
  <c r="CO344" i="3"/>
  <c r="CN344" i="3"/>
  <c r="CM344" i="3"/>
  <c r="CL344" i="3"/>
  <c r="CK344" i="3"/>
  <c r="CJ344" i="3"/>
  <c r="CI344" i="3"/>
  <c r="CH344" i="3"/>
  <c r="CG344" i="3"/>
  <c r="CF344" i="3"/>
  <c r="CE344" i="3"/>
  <c r="CD344" i="3"/>
  <c r="CC344" i="3"/>
  <c r="CB344" i="3"/>
  <c r="CA344" i="3"/>
  <c r="BZ344" i="3"/>
  <c r="BY344" i="3"/>
  <c r="BX344" i="3"/>
  <c r="BW344" i="3"/>
  <c r="BV344" i="3"/>
  <c r="BU344" i="3"/>
  <c r="BT344" i="3"/>
  <c r="BS344" i="3"/>
  <c r="BR344" i="3"/>
  <c r="BQ344" i="3"/>
  <c r="BP344" i="3"/>
  <c r="BO344" i="3"/>
  <c r="BN344" i="3"/>
  <c r="E344" i="3"/>
  <c r="B344" i="3"/>
  <c r="DU343" i="3"/>
  <c r="DT343" i="3"/>
  <c r="DS343" i="3"/>
  <c r="DR343" i="3"/>
  <c r="DQ343" i="3"/>
  <c r="DP343" i="3"/>
  <c r="DO343" i="3"/>
  <c r="DN343" i="3"/>
  <c r="DM343" i="3"/>
  <c r="DL343" i="3"/>
  <c r="DK343" i="3"/>
  <c r="DJ343" i="3"/>
  <c r="DI343" i="3"/>
  <c r="DH343" i="3"/>
  <c r="DG343" i="3"/>
  <c r="DF343" i="3"/>
  <c r="DE343" i="3"/>
  <c r="DD343" i="3"/>
  <c r="DC343" i="3"/>
  <c r="DB343" i="3"/>
  <c r="DA343" i="3"/>
  <c r="CZ343" i="3"/>
  <c r="CY343" i="3"/>
  <c r="CX343" i="3"/>
  <c r="CW343" i="3"/>
  <c r="CV343" i="3"/>
  <c r="CU343" i="3"/>
  <c r="CT343" i="3"/>
  <c r="CS343" i="3"/>
  <c r="CR343" i="3"/>
  <c r="CQ343" i="3"/>
  <c r="CP343" i="3"/>
  <c r="CO343" i="3"/>
  <c r="CN343" i="3"/>
  <c r="CM343" i="3"/>
  <c r="CL343" i="3"/>
  <c r="CK343" i="3"/>
  <c r="CJ343" i="3"/>
  <c r="CI343" i="3"/>
  <c r="CH343" i="3"/>
  <c r="CG343" i="3"/>
  <c r="CF343" i="3"/>
  <c r="CE343" i="3"/>
  <c r="CD343" i="3"/>
  <c r="CC343" i="3"/>
  <c r="CB343" i="3"/>
  <c r="CA343" i="3"/>
  <c r="BZ343" i="3"/>
  <c r="BY343" i="3"/>
  <c r="BX343" i="3"/>
  <c r="BW343" i="3"/>
  <c r="BV343" i="3"/>
  <c r="BU343" i="3"/>
  <c r="BT343" i="3"/>
  <c r="BS343" i="3"/>
  <c r="BR343" i="3"/>
  <c r="BQ343" i="3"/>
  <c r="BP343" i="3"/>
  <c r="BO343" i="3"/>
  <c r="BN343" i="3"/>
  <c r="D343" i="3"/>
  <c r="C343" i="3"/>
  <c r="DU342" i="3"/>
  <c r="DT342" i="3"/>
  <c r="DS342" i="3"/>
  <c r="DR342" i="3"/>
  <c r="DQ342" i="3"/>
  <c r="DP342" i="3"/>
  <c r="DO342" i="3"/>
  <c r="DN342" i="3"/>
  <c r="DM342" i="3"/>
  <c r="DL342" i="3"/>
  <c r="DK342" i="3"/>
  <c r="DJ342" i="3"/>
  <c r="DI342" i="3"/>
  <c r="DH342" i="3"/>
  <c r="DG342" i="3"/>
  <c r="DF342" i="3"/>
  <c r="DE342" i="3"/>
  <c r="DD342" i="3"/>
  <c r="DC342" i="3"/>
  <c r="DB342" i="3"/>
  <c r="DA342" i="3"/>
  <c r="CZ342" i="3"/>
  <c r="CY342" i="3"/>
  <c r="CX342" i="3"/>
  <c r="CW342" i="3"/>
  <c r="CV342" i="3"/>
  <c r="CU342" i="3"/>
  <c r="CT342" i="3"/>
  <c r="CS342" i="3"/>
  <c r="CR342" i="3"/>
  <c r="CQ342" i="3"/>
  <c r="CP342" i="3"/>
  <c r="CO342" i="3"/>
  <c r="CN342" i="3"/>
  <c r="CM342" i="3"/>
  <c r="CL342" i="3"/>
  <c r="CK342" i="3"/>
  <c r="CJ342" i="3"/>
  <c r="CI342" i="3"/>
  <c r="CH342" i="3"/>
  <c r="CG342" i="3"/>
  <c r="CF342" i="3"/>
  <c r="CE342" i="3"/>
  <c r="CD342" i="3"/>
  <c r="CC342" i="3"/>
  <c r="CB342" i="3"/>
  <c r="CA342" i="3"/>
  <c r="BZ342" i="3"/>
  <c r="BY342" i="3"/>
  <c r="BX342" i="3"/>
  <c r="BW342" i="3"/>
  <c r="BV342" i="3"/>
  <c r="BU342" i="3"/>
  <c r="BT342" i="3"/>
  <c r="BS342" i="3"/>
  <c r="BR342" i="3"/>
  <c r="BQ342" i="3"/>
  <c r="BP342" i="3"/>
  <c r="BO342" i="3"/>
  <c r="BN342" i="3"/>
  <c r="E342" i="3"/>
  <c r="D342" i="3"/>
  <c r="C342" i="3"/>
  <c r="A342" i="3"/>
  <c r="DU341" i="3"/>
  <c r="DT341" i="3"/>
  <c r="DS341" i="3"/>
  <c r="DR341" i="3"/>
  <c r="DQ341" i="3"/>
  <c r="DP341" i="3"/>
  <c r="DO341" i="3"/>
  <c r="DN341" i="3"/>
  <c r="DM341" i="3"/>
  <c r="DL341" i="3"/>
  <c r="DK341" i="3"/>
  <c r="DJ341" i="3"/>
  <c r="DI341" i="3"/>
  <c r="DH341" i="3"/>
  <c r="DG341" i="3"/>
  <c r="DF341" i="3"/>
  <c r="DE341" i="3"/>
  <c r="DD341" i="3"/>
  <c r="DC341" i="3"/>
  <c r="DB341" i="3"/>
  <c r="DA341" i="3"/>
  <c r="CZ341" i="3"/>
  <c r="CY341" i="3"/>
  <c r="CX341" i="3"/>
  <c r="CW341" i="3"/>
  <c r="CV341" i="3"/>
  <c r="CU341" i="3"/>
  <c r="CT341" i="3"/>
  <c r="CS341" i="3"/>
  <c r="CR341" i="3"/>
  <c r="CQ341" i="3"/>
  <c r="CP341" i="3"/>
  <c r="CO341" i="3"/>
  <c r="CN341" i="3"/>
  <c r="CM341" i="3"/>
  <c r="CL341" i="3"/>
  <c r="CK341" i="3"/>
  <c r="CJ341" i="3"/>
  <c r="CI341" i="3"/>
  <c r="CH341" i="3"/>
  <c r="CG341" i="3"/>
  <c r="CF341" i="3"/>
  <c r="CE341" i="3"/>
  <c r="CD341" i="3"/>
  <c r="CC341" i="3"/>
  <c r="CB341" i="3"/>
  <c r="CA341" i="3"/>
  <c r="BZ341" i="3"/>
  <c r="BY341" i="3"/>
  <c r="BX341" i="3"/>
  <c r="BW341" i="3"/>
  <c r="BV341" i="3"/>
  <c r="BU341" i="3"/>
  <c r="BT341" i="3"/>
  <c r="BS341" i="3"/>
  <c r="BR341" i="3"/>
  <c r="BQ341" i="3"/>
  <c r="BP341" i="3"/>
  <c r="BO341" i="3"/>
  <c r="BN341" i="3"/>
  <c r="DU340" i="3"/>
  <c r="DT340" i="3"/>
  <c r="DS340" i="3"/>
  <c r="DR340" i="3"/>
  <c r="DQ340" i="3"/>
  <c r="DP340" i="3"/>
  <c r="DO340" i="3"/>
  <c r="DN340" i="3"/>
  <c r="DM340" i="3"/>
  <c r="DL340" i="3"/>
  <c r="DK340" i="3"/>
  <c r="DJ340" i="3"/>
  <c r="DI340" i="3"/>
  <c r="DH340" i="3"/>
  <c r="DG340" i="3"/>
  <c r="DF340" i="3"/>
  <c r="DE340" i="3"/>
  <c r="DD340" i="3"/>
  <c r="DC340" i="3"/>
  <c r="DB340" i="3"/>
  <c r="DA340" i="3"/>
  <c r="CZ340" i="3"/>
  <c r="CY340" i="3"/>
  <c r="CX340" i="3"/>
  <c r="CW340" i="3"/>
  <c r="CV340" i="3"/>
  <c r="CU340" i="3"/>
  <c r="CT340" i="3"/>
  <c r="CS340" i="3"/>
  <c r="CR340" i="3"/>
  <c r="CQ340" i="3"/>
  <c r="CP340" i="3"/>
  <c r="CO340" i="3"/>
  <c r="CN340" i="3"/>
  <c r="CM340" i="3"/>
  <c r="CL340" i="3"/>
  <c r="CK340" i="3"/>
  <c r="CJ340" i="3"/>
  <c r="CI340" i="3"/>
  <c r="CH340" i="3"/>
  <c r="CG340" i="3"/>
  <c r="CF340" i="3"/>
  <c r="CE340" i="3"/>
  <c r="CD340" i="3"/>
  <c r="CC340" i="3"/>
  <c r="CB340" i="3"/>
  <c r="CA340" i="3"/>
  <c r="BZ340" i="3"/>
  <c r="BY340" i="3"/>
  <c r="BX340" i="3"/>
  <c r="BW340" i="3"/>
  <c r="BV340" i="3"/>
  <c r="BU340" i="3"/>
  <c r="BT340" i="3"/>
  <c r="BS340" i="3"/>
  <c r="BR340" i="3"/>
  <c r="BQ340" i="3"/>
  <c r="BP340" i="3"/>
  <c r="BO340" i="3"/>
  <c r="BN340" i="3"/>
  <c r="C340" i="3"/>
  <c r="DU339" i="3"/>
  <c r="DT339" i="3"/>
  <c r="DS339" i="3"/>
  <c r="DR339" i="3"/>
  <c r="DQ339" i="3"/>
  <c r="DP339" i="3"/>
  <c r="DO339" i="3"/>
  <c r="DN339" i="3"/>
  <c r="DM339" i="3"/>
  <c r="DL339" i="3"/>
  <c r="DK339" i="3"/>
  <c r="DJ339" i="3"/>
  <c r="DI339" i="3"/>
  <c r="DH339" i="3"/>
  <c r="DG339" i="3"/>
  <c r="DF339" i="3"/>
  <c r="DE339" i="3"/>
  <c r="DD339" i="3"/>
  <c r="DC339" i="3"/>
  <c r="DB339" i="3"/>
  <c r="DA339" i="3"/>
  <c r="CZ339" i="3"/>
  <c r="CY339" i="3"/>
  <c r="CX339" i="3"/>
  <c r="CW339" i="3"/>
  <c r="CV339" i="3"/>
  <c r="CU339" i="3"/>
  <c r="CT339" i="3"/>
  <c r="CS339" i="3"/>
  <c r="CR339" i="3"/>
  <c r="CQ339" i="3"/>
  <c r="CP339" i="3"/>
  <c r="CO339" i="3"/>
  <c r="CN339" i="3"/>
  <c r="CM339" i="3"/>
  <c r="CL339" i="3"/>
  <c r="CK339" i="3"/>
  <c r="CJ339" i="3"/>
  <c r="CI339" i="3"/>
  <c r="CH339" i="3"/>
  <c r="CG339" i="3"/>
  <c r="CF339" i="3"/>
  <c r="CE339" i="3"/>
  <c r="CD339" i="3"/>
  <c r="CC339" i="3"/>
  <c r="CB339" i="3"/>
  <c r="CA339" i="3"/>
  <c r="BZ339" i="3"/>
  <c r="BY339" i="3"/>
  <c r="BX339" i="3"/>
  <c r="BW339" i="3"/>
  <c r="BV339" i="3"/>
  <c r="BU339" i="3"/>
  <c r="BT339" i="3"/>
  <c r="BS339" i="3"/>
  <c r="BR339" i="3"/>
  <c r="BQ339" i="3"/>
  <c r="BP339" i="3"/>
  <c r="BO339" i="3"/>
  <c r="BN339" i="3"/>
  <c r="B339" i="3"/>
  <c r="A339" i="3"/>
  <c r="DU338" i="3"/>
  <c r="DT338" i="3"/>
  <c r="DS338" i="3"/>
  <c r="DR338" i="3"/>
  <c r="DQ338" i="3"/>
  <c r="DP338" i="3"/>
  <c r="DO338" i="3"/>
  <c r="DN338" i="3"/>
  <c r="DM338" i="3"/>
  <c r="DL338" i="3"/>
  <c r="DK338" i="3"/>
  <c r="DJ338" i="3"/>
  <c r="DI338" i="3"/>
  <c r="DH338" i="3"/>
  <c r="DG338" i="3"/>
  <c r="DF338" i="3"/>
  <c r="DE338" i="3"/>
  <c r="DD338" i="3"/>
  <c r="DC338" i="3"/>
  <c r="DB338" i="3"/>
  <c r="DA338" i="3"/>
  <c r="CZ338" i="3"/>
  <c r="CY338" i="3"/>
  <c r="CX338" i="3"/>
  <c r="CW338" i="3"/>
  <c r="CV338" i="3"/>
  <c r="CU338" i="3"/>
  <c r="CT338" i="3"/>
  <c r="CS338" i="3"/>
  <c r="CR338" i="3"/>
  <c r="CQ338" i="3"/>
  <c r="CP338" i="3"/>
  <c r="CO338" i="3"/>
  <c r="CN338" i="3"/>
  <c r="CM338" i="3"/>
  <c r="CL338" i="3"/>
  <c r="CK338" i="3"/>
  <c r="CJ338" i="3"/>
  <c r="CI338" i="3"/>
  <c r="CH338" i="3"/>
  <c r="CG338" i="3"/>
  <c r="CF338" i="3"/>
  <c r="CE338" i="3"/>
  <c r="CD338" i="3"/>
  <c r="CC338" i="3"/>
  <c r="CB338" i="3"/>
  <c r="CA338" i="3"/>
  <c r="BZ338" i="3"/>
  <c r="BY338" i="3"/>
  <c r="BX338" i="3"/>
  <c r="BW338" i="3"/>
  <c r="BV338" i="3"/>
  <c r="BU338" i="3"/>
  <c r="BT338" i="3"/>
  <c r="BS338" i="3"/>
  <c r="BR338" i="3"/>
  <c r="BQ338" i="3"/>
  <c r="BP338" i="3"/>
  <c r="BO338" i="3"/>
  <c r="BN338" i="3"/>
  <c r="E338" i="3"/>
  <c r="D338" i="3"/>
  <c r="C338" i="3"/>
  <c r="DU337" i="3"/>
  <c r="DT337" i="3"/>
  <c r="DS337" i="3"/>
  <c r="DR337" i="3"/>
  <c r="DQ337" i="3"/>
  <c r="DP337" i="3"/>
  <c r="DO337" i="3"/>
  <c r="DN337" i="3"/>
  <c r="DM337" i="3"/>
  <c r="DL337" i="3"/>
  <c r="DK337" i="3"/>
  <c r="DJ337" i="3"/>
  <c r="DI337" i="3"/>
  <c r="DH337" i="3"/>
  <c r="DG337" i="3"/>
  <c r="DF337" i="3"/>
  <c r="DE337" i="3"/>
  <c r="DD337" i="3"/>
  <c r="DC337" i="3"/>
  <c r="DB337" i="3"/>
  <c r="DA337" i="3"/>
  <c r="CZ337" i="3"/>
  <c r="CY337" i="3"/>
  <c r="CX337" i="3"/>
  <c r="CW337" i="3"/>
  <c r="CV337" i="3"/>
  <c r="CU337" i="3"/>
  <c r="CT337" i="3"/>
  <c r="CS337" i="3"/>
  <c r="CR337" i="3"/>
  <c r="CQ337" i="3"/>
  <c r="CP337" i="3"/>
  <c r="CO337" i="3"/>
  <c r="CN337" i="3"/>
  <c r="CM337" i="3"/>
  <c r="CL337" i="3"/>
  <c r="CK337" i="3"/>
  <c r="CJ337" i="3"/>
  <c r="CI337" i="3"/>
  <c r="CH337" i="3"/>
  <c r="CG337" i="3"/>
  <c r="CF337" i="3"/>
  <c r="CE337" i="3"/>
  <c r="CD337" i="3"/>
  <c r="CC337" i="3"/>
  <c r="CB337" i="3"/>
  <c r="CA337" i="3"/>
  <c r="BZ337" i="3"/>
  <c r="BY337" i="3"/>
  <c r="BX337" i="3"/>
  <c r="BW337" i="3"/>
  <c r="BV337" i="3"/>
  <c r="BU337" i="3"/>
  <c r="BT337" i="3"/>
  <c r="BS337" i="3"/>
  <c r="BR337" i="3"/>
  <c r="BQ337" i="3"/>
  <c r="BP337" i="3"/>
  <c r="BO337" i="3"/>
  <c r="BN337" i="3"/>
  <c r="A337" i="3"/>
  <c r="DU336" i="3"/>
  <c r="DT336" i="3"/>
  <c r="DS336" i="3"/>
  <c r="DR336" i="3"/>
  <c r="DQ336" i="3"/>
  <c r="DP336" i="3"/>
  <c r="DO336" i="3"/>
  <c r="DN336" i="3"/>
  <c r="DM336" i="3"/>
  <c r="DL336" i="3"/>
  <c r="DK336" i="3"/>
  <c r="DJ336" i="3"/>
  <c r="DI336" i="3"/>
  <c r="DH336" i="3"/>
  <c r="DG336" i="3"/>
  <c r="DF336" i="3"/>
  <c r="DE336" i="3"/>
  <c r="DD336" i="3"/>
  <c r="DC336" i="3"/>
  <c r="DB336" i="3"/>
  <c r="DA336" i="3"/>
  <c r="CZ336" i="3"/>
  <c r="CY336" i="3"/>
  <c r="CX336" i="3"/>
  <c r="CW336" i="3"/>
  <c r="CV336" i="3"/>
  <c r="CU336" i="3"/>
  <c r="CT336" i="3"/>
  <c r="CS336" i="3"/>
  <c r="CR336" i="3"/>
  <c r="CQ336" i="3"/>
  <c r="CP336" i="3"/>
  <c r="CO336" i="3"/>
  <c r="CN336" i="3"/>
  <c r="CM336" i="3"/>
  <c r="CL336" i="3"/>
  <c r="CK336" i="3"/>
  <c r="CJ336" i="3"/>
  <c r="CI336" i="3"/>
  <c r="CH336" i="3"/>
  <c r="CG336" i="3"/>
  <c r="CF336" i="3"/>
  <c r="CE336" i="3"/>
  <c r="CD336" i="3"/>
  <c r="CC336" i="3"/>
  <c r="CB336" i="3"/>
  <c r="CA336" i="3"/>
  <c r="BZ336" i="3"/>
  <c r="BY336" i="3"/>
  <c r="BX336" i="3"/>
  <c r="BW336" i="3"/>
  <c r="BV336" i="3"/>
  <c r="BU336" i="3"/>
  <c r="BT336" i="3"/>
  <c r="BS336" i="3"/>
  <c r="BR336" i="3"/>
  <c r="BQ336" i="3"/>
  <c r="BP336" i="3"/>
  <c r="BO336" i="3"/>
  <c r="BN336" i="3"/>
  <c r="A336" i="3"/>
  <c r="DU335" i="3"/>
  <c r="DT335" i="3"/>
  <c r="DS335" i="3"/>
  <c r="DR335" i="3"/>
  <c r="DQ335" i="3"/>
  <c r="DP335" i="3"/>
  <c r="DO335" i="3"/>
  <c r="DN335" i="3"/>
  <c r="DM335" i="3"/>
  <c r="DL335" i="3"/>
  <c r="DK335" i="3"/>
  <c r="DJ335" i="3"/>
  <c r="DI335" i="3"/>
  <c r="DH335" i="3"/>
  <c r="DG335" i="3"/>
  <c r="DF335" i="3"/>
  <c r="DE335" i="3"/>
  <c r="DD335" i="3"/>
  <c r="DC335" i="3"/>
  <c r="DB335" i="3"/>
  <c r="DA335" i="3"/>
  <c r="CZ335" i="3"/>
  <c r="CY335" i="3"/>
  <c r="CX335" i="3"/>
  <c r="CW335" i="3"/>
  <c r="CV335" i="3"/>
  <c r="CU335" i="3"/>
  <c r="CT335" i="3"/>
  <c r="CS335" i="3"/>
  <c r="CR335" i="3"/>
  <c r="CQ335" i="3"/>
  <c r="CP335" i="3"/>
  <c r="CO335" i="3"/>
  <c r="CN335" i="3"/>
  <c r="CM335" i="3"/>
  <c r="CL335" i="3"/>
  <c r="CK335" i="3"/>
  <c r="CJ335" i="3"/>
  <c r="CI335" i="3"/>
  <c r="CH335" i="3"/>
  <c r="CG335" i="3"/>
  <c r="CF335" i="3"/>
  <c r="CE335" i="3"/>
  <c r="CD335" i="3"/>
  <c r="CC335" i="3"/>
  <c r="CB335" i="3"/>
  <c r="CA335" i="3"/>
  <c r="BZ335" i="3"/>
  <c r="BY335" i="3"/>
  <c r="BX335" i="3"/>
  <c r="BW335" i="3"/>
  <c r="BV335" i="3"/>
  <c r="BU335" i="3"/>
  <c r="BT335" i="3"/>
  <c r="BS335" i="3"/>
  <c r="BR335" i="3"/>
  <c r="BQ335" i="3"/>
  <c r="BP335" i="3"/>
  <c r="BO335" i="3"/>
  <c r="BN335" i="3"/>
  <c r="DU334" i="3"/>
  <c r="DT334" i="3"/>
  <c r="DS334" i="3"/>
  <c r="DR334" i="3"/>
  <c r="DQ334" i="3"/>
  <c r="DP334" i="3"/>
  <c r="DO334" i="3"/>
  <c r="DN334" i="3"/>
  <c r="DM334" i="3"/>
  <c r="DL334" i="3"/>
  <c r="DK334" i="3"/>
  <c r="DJ334" i="3"/>
  <c r="DI334" i="3"/>
  <c r="DH334" i="3"/>
  <c r="DG334" i="3"/>
  <c r="DF334" i="3"/>
  <c r="DE334" i="3"/>
  <c r="DD334" i="3"/>
  <c r="DC334" i="3"/>
  <c r="DB334" i="3"/>
  <c r="DA334" i="3"/>
  <c r="CZ334" i="3"/>
  <c r="CY334" i="3"/>
  <c r="CX334" i="3"/>
  <c r="CW334" i="3"/>
  <c r="CV334" i="3"/>
  <c r="CU334" i="3"/>
  <c r="CT334" i="3"/>
  <c r="CS334" i="3"/>
  <c r="CR334" i="3"/>
  <c r="CQ334" i="3"/>
  <c r="CP334" i="3"/>
  <c r="CO334" i="3"/>
  <c r="CN334" i="3"/>
  <c r="CM334" i="3"/>
  <c r="CL334" i="3"/>
  <c r="CK334" i="3"/>
  <c r="CJ334" i="3"/>
  <c r="CI334" i="3"/>
  <c r="CH334" i="3"/>
  <c r="CG334" i="3"/>
  <c r="CF334" i="3"/>
  <c r="CE334" i="3"/>
  <c r="CD334" i="3"/>
  <c r="CC334" i="3"/>
  <c r="CB334" i="3"/>
  <c r="CA334" i="3"/>
  <c r="BZ334" i="3"/>
  <c r="BY334" i="3"/>
  <c r="BX334" i="3"/>
  <c r="BW334" i="3"/>
  <c r="BV334" i="3"/>
  <c r="BU334" i="3"/>
  <c r="BT334" i="3"/>
  <c r="BS334" i="3"/>
  <c r="BR334" i="3"/>
  <c r="BQ334" i="3"/>
  <c r="BP334" i="3"/>
  <c r="BO334" i="3"/>
  <c r="BN334" i="3"/>
  <c r="E334" i="3"/>
  <c r="D334" i="3"/>
  <c r="C334" i="3"/>
  <c r="A334" i="3"/>
  <c r="DU333" i="3"/>
  <c r="DT333" i="3"/>
  <c r="DS333" i="3"/>
  <c r="DR333" i="3"/>
  <c r="DQ333" i="3"/>
  <c r="DP333" i="3"/>
  <c r="DO333" i="3"/>
  <c r="DN333" i="3"/>
  <c r="DM333" i="3"/>
  <c r="DL333" i="3"/>
  <c r="DK333" i="3"/>
  <c r="DJ333" i="3"/>
  <c r="DI333" i="3"/>
  <c r="DH333" i="3"/>
  <c r="DG333" i="3"/>
  <c r="DF333" i="3"/>
  <c r="DE333" i="3"/>
  <c r="DD333" i="3"/>
  <c r="DC333" i="3"/>
  <c r="DB333" i="3"/>
  <c r="DA333" i="3"/>
  <c r="CZ333" i="3"/>
  <c r="CY333" i="3"/>
  <c r="CX333" i="3"/>
  <c r="CW333" i="3"/>
  <c r="CV333" i="3"/>
  <c r="CU333" i="3"/>
  <c r="CT333" i="3"/>
  <c r="CS333" i="3"/>
  <c r="CR333" i="3"/>
  <c r="CQ333" i="3"/>
  <c r="CP333" i="3"/>
  <c r="CO333" i="3"/>
  <c r="CN333" i="3"/>
  <c r="CM333" i="3"/>
  <c r="CL333" i="3"/>
  <c r="CK333" i="3"/>
  <c r="CJ333" i="3"/>
  <c r="CI333" i="3"/>
  <c r="CH333" i="3"/>
  <c r="CG333" i="3"/>
  <c r="CF333" i="3"/>
  <c r="CE333" i="3"/>
  <c r="CD333" i="3"/>
  <c r="CC333" i="3"/>
  <c r="CB333" i="3"/>
  <c r="CA333" i="3"/>
  <c r="BZ333" i="3"/>
  <c r="BY333" i="3"/>
  <c r="BX333" i="3"/>
  <c r="BW333" i="3"/>
  <c r="BV333" i="3"/>
  <c r="BU333" i="3"/>
  <c r="BT333" i="3"/>
  <c r="BS333" i="3"/>
  <c r="BR333" i="3"/>
  <c r="BQ333" i="3"/>
  <c r="BP333" i="3"/>
  <c r="BO333" i="3"/>
  <c r="BN333" i="3"/>
  <c r="E333" i="3"/>
  <c r="D333" i="3"/>
  <c r="C333" i="3"/>
  <c r="DU332" i="3"/>
  <c r="DT332" i="3"/>
  <c r="DS332" i="3"/>
  <c r="DR332" i="3"/>
  <c r="DQ332" i="3"/>
  <c r="DP332" i="3"/>
  <c r="DO332" i="3"/>
  <c r="DN332" i="3"/>
  <c r="DM332" i="3"/>
  <c r="DL332" i="3"/>
  <c r="DK332" i="3"/>
  <c r="DJ332" i="3"/>
  <c r="DI332" i="3"/>
  <c r="DH332" i="3"/>
  <c r="DG332" i="3"/>
  <c r="DF332" i="3"/>
  <c r="DE332" i="3"/>
  <c r="DD332" i="3"/>
  <c r="DC332" i="3"/>
  <c r="DB332" i="3"/>
  <c r="DA332" i="3"/>
  <c r="CZ332" i="3"/>
  <c r="CY332" i="3"/>
  <c r="CX332" i="3"/>
  <c r="CW332" i="3"/>
  <c r="CV332" i="3"/>
  <c r="CU332" i="3"/>
  <c r="CT332" i="3"/>
  <c r="CS332" i="3"/>
  <c r="CR332" i="3"/>
  <c r="CQ332" i="3"/>
  <c r="CP332" i="3"/>
  <c r="CO332" i="3"/>
  <c r="CN332" i="3"/>
  <c r="CM332" i="3"/>
  <c r="CL332" i="3"/>
  <c r="CK332" i="3"/>
  <c r="CJ332" i="3"/>
  <c r="CI332" i="3"/>
  <c r="CH332" i="3"/>
  <c r="CG332" i="3"/>
  <c r="CF332" i="3"/>
  <c r="CE332" i="3"/>
  <c r="CD332" i="3"/>
  <c r="CC332" i="3"/>
  <c r="CB332" i="3"/>
  <c r="CA332" i="3"/>
  <c r="BZ332" i="3"/>
  <c r="BY332" i="3"/>
  <c r="BX332" i="3"/>
  <c r="BW332" i="3"/>
  <c r="BV332" i="3"/>
  <c r="BU332" i="3"/>
  <c r="BT332" i="3"/>
  <c r="BS332" i="3"/>
  <c r="BR332" i="3"/>
  <c r="BQ332" i="3"/>
  <c r="BP332" i="3"/>
  <c r="BO332" i="3"/>
  <c r="BN332" i="3"/>
  <c r="B332" i="3"/>
  <c r="DU331" i="3"/>
  <c r="DT331" i="3"/>
  <c r="DS331" i="3"/>
  <c r="DR331" i="3"/>
  <c r="DQ331" i="3"/>
  <c r="DP331" i="3"/>
  <c r="DO331" i="3"/>
  <c r="DN331" i="3"/>
  <c r="DM331" i="3"/>
  <c r="DL331" i="3"/>
  <c r="DK331" i="3"/>
  <c r="DJ331" i="3"/>
  <c r="DI331" i="3"/>
  <c r="DH331" i="3"/>
  <c r="DG331" i="3"/>
  <c r="DF331" i="3"/>
  <c r="DE331" i="3"/>
  <c r="DD331" i="3"/>
  <c r="DC331" i="3"/>
  <c r="DB331" i="3"/>
  <c r="DA331" i="3"/>
  <c r="CZ331" i="3"/>
  <c r="CY331" i="3"/>
  <c r="CX331" i="3"/>
  <c r="CW331" i="3"/>
  <c r="CV331" i="3"/>
  <c r="CU331" i="3"/>
  <c r="CT331" i="3"/>
  <c r="CS331" i="3"/>
  <c r="CR331" i="3"/>
  <c r="CQ331" i="3"/>
  <c r="CP331" i="3"/>
  <c r="CO331" i="3"/>
  <c r="CN331" i="3"/>
  <c r="CM331" i="3"/>
  <c r="CL331" i="3"/>
  <c r="CK331" i="3"/>
  <c r="CJ331" i="3"/>
  <c r="CI331" i="3"/>
  <c r="CH331" i="3"/>
  <c r="CG331" i="3"/>
  <c r="CF331" i="3"/>
  <c r="CE331" i="3"/>
  <c r="CD331" i="3"/>
  <c r="CC331" i="3"/>
  <c r="CB331" i="3"/>
  <c r="CA331" i="3"/>
  <c r="BZ331" i="3"/>
  <c r="BY331" i="3"/>
  <c r="BX331" i="3"/>
  <c r="BW331" i="3"/>
  <c r="BV331" i="3"/>
  <c r="BU331" i="3"/>
  <c r="BT331" i="3"/>
  <c r="BS331" i="3"/>
  <c r="BR331" i="3"/>
  <c r="BQ331" i="3"/>
  <c r="BP331" i="3"/>
  <c r="BO331" i="3"/>
  <c r="BN331" i="3"/>
  <c r="DU330" i="3"/>
  <c r="DT330" i="3"/>
  <c r="DS330" i="3"/>
  <c r="DR330" i="3"/>
  <c r="DQ330" i="3"/>
  <c r="DP330" i="3"/>
  <c r="DO330" i="3"/>
  <c r="DN330" i="3"/>
  <c r="DM330" i="3"/>
  <c r="DL330" i="3"/>
  <c r="DK330" i="3"/>
  <c r="DJ330" i="3"/>
  <c r="DI330" i="3"/>
  <c r="DH330" i="3"/>
  <c r="DG330" i="3"/>
  <c r="DF330" i="3"/>
  <c r="DE330" i="3"/>
  <c r="DD330" i="3"/>
  <c r="DC330" i="3"/>
  <c r="DB330" i="3"/>
  <c r="DA330" i="3"/>
  <c r="CZ330" i="3"/>
  <c r="CY330" i="3"/>
  <c r="CX330" i="3"/>
  <c r="CW330" i="3"/>
  <c r="CV330" i="3"/>
  <c r="CU330" i="3"/>
  <c r="CT330" i="3"/>
  <c r="CS330" i="3"/>
  <c r="CR330" i="3"/>
  <c r="CQ330" i="3"/>
  <c r="CP330" i="3"/>
  <c r="CO330" i="3"/>
  <c r="CN330" i="3"/>
  <c r="CM330" i="3"/>
  <c r="CL330" i="3"/>
  <c r="CK330" i="3"/>
  <c r="CJ330" i="3"/>
  <c r="CI330" i="3"/>
  <c r="CH330" i="3"/>
  <c r="CG330" i="3"/>
  <c r="CF330" i="3"/>
  <c r="CE330" i="3"/>
  <c r="CD330" i="3"/>
  <c r="CC330" i="3"/>
  <c r="CB330" i="3"/>
  <c r="CA330" i="3"/>
  <c r="BZ330" i="3"/>
  <c r="BY330" i="3"/>
  <c r="BX330" i="3"/>
  <c r="BW330" i="3"/>
  <c r="BV330" i="3"/>
  <c r="BU330" i="3"/>
  <c r="BT330" i="3"/>
  <c r="BS330" i="3"/>
  <c r="BR330" i="3"/>
  <c r="BQ330" i="3"/>
  <c r="BP330" i="3"/>
  <c r="BO330" i="3"/>
  <c r="BN330" i="3"/>
  <c r="E330" i="3"/>
  <c r="A330" i="3"/>
  <c r="DU329" i="3"/>
  <c r="DT329" i="3"/>
  <c r="DS329" i="3"/>
  <c r="DR329" i="3"/>
  <c r="DQ329" i="3"/>
  <c r="DP329" i="3"/>
  <c r="DO329" i="3"/>
  <c r="DN329" i="3"/>
  <c r="DM329" i="3"/>
  <c r="DL329" i="3"/>
  <c r="DK329" i="3"/>
  <c r="DJ329" i="3"/>
  <c r="DI329" i="3"/>
  <c r="DH329" i="3"/>
  <c r="DG329" i="3"/>
  <c r="DF329" i="3"/>
  <c r="DE329" i="3"/>
  <c r="DD329" i="3"/>
  <c r="DC329" i="3"/>
  <c r="DB329" i="3"/>
  <c r="DA329" i="3"/>
  <c r="CZ329" i="3"/>
  <c r="CY329" i="3"/>
  <c r="CX329" i="3"/>
  <c r="CW329" i="3"/>
  <c r="CV329" i="3"/>
  <c r="CU329" i="3"/>
  <c r="CT329" i="3"/>
  <c r="CS329" i="3"/>
  <c r="CR329" i="3"/>
  <c r="CQ329" i="3"/>
  <c r="CP329" i="3"/>
  <c r="CO329" i="3"/>
  <c r="CN329" i="3"/>
  <c r="CM329" i="3"/>
  <c r="CL329" i="3"/>
  <c r="CK329" i="3"/>
  <c r="CJ329" i="3"/>
  <c r="CI329" i="3"/>
  <c r="CH329" i="3"/>
  <c r="CG329" i="3"/>
  <c r="CF329" i="3"/>
  <c r="CE329" i="3"/>
  <c r="CD329" i="3"/>
  <c r="CC329" i="3"/>
  <c r="CB329" i="3"/>
  <c r="CA329" i="3"/>
  <c r="BZ329" i="3"/>
  <c r="BY329" i="3"/>
  <c r="BX329" i="3"/>
  <c r="BW329" i="3"/>
  <c r="BV329" i="3"/>
  <c r="BU329" i="3"/>
  <c r="BT329" i="3"/>
  <c r="BS329" i="3"/>
  <c r="BR329" i="3"/>
  <c r="BQ329" i="3"/>
  <c r="BP329" i="3"/>
  <c r="BO329" i="3"/>
  <c r="BN329" i="3"/>
  <c r="DU328" i="3"/>
  <c r="DT328" i="3"/>
  <c r="DS328" i="3"/>
  <c r="DR328" i="3"/>
  <c r="DQ328" i="3"/>
  <c r="DP328" i="3"/>
  <c r="DO328" i="3"/>
  <c r="DN328" i="3"/>
  <c r="DM328" i="3"/>
  <c r="DL328" i="3"/>
  <c r="DK328" i="3"/>
  <c r="DJ328" i="3"/>
  <c r="DI328" i="3"/>
  <c r="DH328" i="3"/>
  <c r="DG328" i="3"/>
  <c r="DF328" i="3"/>
  <c r="DE328" i="3"/>
  <c r="DD328" i="3"/>
  <c r="DC328" i="3"/>
  <c r="DB328" i="3"/>
  <c r="DA328" i="3"/>
  <c r="CZ328" i="3"/>
  <c r="CY328" i="3"/>
  <c r="CX328" i="3"/>
  <c r="CW328" i="3"/>
  <c r="CV328" i="3"/>
  <c r="CU328" i="3"/>
  <c r="CT328" i="3"/>
  <c r="CS328" i="3"/>
  <c r="CR328" i="3"/>
  <c r="CQ328" i="3"/>
  <c r="CP328" i="3"/>
  <c r="CO328" i="3"/>
  <c r="CN328" i="3"/>
  <c r="CM328" i="3"/>
  <c r="CL328" i="3"/>
  <c r="CK328" i="3"/>
  <c r="CJ328" i="3"/>
  <c r="CI328" i="3"/>
  <c r="CH328" i="3"/>
  <c r="CG328" i="3"/>
  <c r="CF328" i="3"/>
  <c r="CE328" i="3"/>
  <c r="CD328" i="3"/>
  <c r="CC328" i="3"/>
  <c r="CB328" i="3"/>
  <c r="CA328" i="3"/>
  <c r="BZ328" i="3"/>
  <c r="BY328" i="3"/>
  <c r="BX328" i="3"/>
  <c r="BW328" i="3"/>
  <c r="BV328" i="3"/>
  <c r="BU328" i="3"/>
  <c r="BT328" i="3"/>
  <c r="BS328" i="3"/>
  <c r="BR328" i="3"/>
  <c r="BQ328" i="3"/>
  <c r="BP328" i="3"/>
  <c r="BO328" i="3"/>
  <c r="BN328" i="3"/>
  <c r="E328" i="3"/>
  <c r="D328" i="3"/>
  <c r="DU327" i="3"/>
  <c r="DT327" i="3"/>
  <c r="DS327" i="3"/>
  <c r="DR327" i="3"/>
  <c r="DQ327" i="3"/>
  <c r="DP327" i="3"/>
  <c r="DO327" i="3"/>
  <c r="DN327" i="3"/>
  <c r="DM327" i="3"/>
  <c r="DL327" i="3"/>
  <c r="DK327" i="3"/>
  <c r="DJ327" i="3"/>
  <c r="DI327" i="3"/>
  <c r="DH327" i="3"/>
  <c r="DG327" i="3"/>
  <c r="DF327" i="3"/>
  <c r="DE327" i="3"/>
  <c r="DD327" i="3"/>
  <c r="DC327" i="3"/>
  <c r="DB327" i="3"/>
  <c r="DA327" i="3"/>
  <c r="CZ327" i="3"/>
  <c r="CY327" i="3"/>
  <c r="CX327" i="3"/>
  <c r="CW327" i="3"/>
  <c r="CV327" i="3"/>
  <c r="CU327" i="3"/>
  <c r="CT327" i="3"/>
  <c r="CS327" i="3"/>
  <c r="CR327" i="3"/>
  <c r="CQ327" i="3"/>
  <c r="CP327" i="3"/>
  <c r="CO327" i="3"/>
  <c r="CN327" i="3"/>
  <c r="CM327" i="3"/>
  <c r="CL327" i="3"/>
  <c r="CK327" i="3"/>
  <c r="CJ327" i="3"/>
  <c r="CI327" i="3"/>
  <c r="CH327" i="3"/>
  <c r="CG327" i="3"/>
  <c r="CF327" i="3"/>
  <c r="CE327" i="3"/>
  <c r="CD327" i="3"/>
  <c r="CC327" i="3"/>
  <c r="CB327" i="3"/>
  <c r="CA327" i="3"/>
  <c r="BZ327" i="3"/>
  <c r="BY327" i="3"/>
  <c r="BX327" i="3"/>
  <c r="BW327" i="3"/>
  <c r="BV327" i="3"/>
  <c r="BU327" i="3"/>
  <c r="BT327" i="3"/>
  <c r="BS327" i="3"/>
  <c r="BR327" i="3"/>
  <c r="BQ327" i="3"/>
  <c r="BP327" i="3"/>
  <c r="BO327" i="3"/>
  <c r="BN327" i="3"/>
  <c r="A327" i="3"/>
  <c r="DU326" i="3"/>
  <c r="DT326" i="3"/>
  <c r="DS326" i="3"/>
  <c r="DR326" i="3"/>
  <c r="DQ326" i="3"/>
  <c r="DP326" i="3"/>
  <c r="DO326" i="3"/>
  <c r="DN326" i="3"/>
  <c r="DM326" i="3"/>
  <c r="DL326" i="3"/>
  <c r="DK326" i="3"/>
  <c r="DJ326" i="3"/>
  <c r="DI326" i="3"/>
  <c r="DH326" i="3"/>
  <c r="DG326" i="3"/>
  <c r="DF326" i="3"/>
  <c r="DE326" i="3"/>
  <c r="DD326" i="3"/>
  <c r="DC326" i="3"/>
  <c r="DB326" i="3"/>
  <c r="DA326" i="3"/>
  <c r="CZ326" i="3"/>
  <c r="CY326" i="3"/>
  <c r="CX326" i="3"/>
  <c r="CW326" i="3"/>
  <c r="CV326" i="3"/>
  <c r="CU326" i="3"/>
  <c r="CT326" i="3"/>
  <c r="CS326" i="3"/>
  <c r="CR326" i="3"/>
  <c r="CQ326" i="3"/>
  <c r="CP326" i="3"/>
  <c r="CO326" i="3"/>
  <c r="CN326" i="3"/>
  <c r="CM326" i="3"/>
  <c r="CL326" i="3"/>
  <c r="CK326" i="3"/>
  <c r="CJ326" i="3"/>
  <c r="CI326" i="3"/>
  <c r="CH326" i="3"/>
  <c r="CG326" i="3"/>
  <c r="CF326" i="3"/>
  <c r="CE326" i="3"/>
  <c r="CD326" i="3"/>
  <c r="CC326" i="3"/>
  <c r="CB326" i="3"/>
  <c r="CA326" i="3"/>
  <c r="BZ326" i="3"/>
  <c r="BY326" i="3"/>
  <c r="BX326" i="3"/>
  <c r="BW326" i="3"/>
  <c r="BV326" i="3"/>
  <c r="BU326" i="3"/>
  <c r="BT326" i="3"/>
  <c r="BS326" i="3"/>
  <c r="BR326" i="3"/>
  <c r="BQ326" i="3"/>
  <c r="BP326" i="3"/>
  <c r="BO326" i="3"/>
  <c r="BN326" i="3"/>
  <c r="E326" i="3"/>
  <c r="DU325" i="3"/>
  <c r="DT325" i="3"/>
  <c r="DS325" i="3"/>
  <c r="DR325" i="3"/>
  <c r="DQ325" i="3"/>
  <c r="DP325" i="3"/>
  <c r="DO325" i="3"/>
  <c r="DN325" i="3"/>
  <c r="DM325" i="3"/>
  <c r="DL325" i="3"/>
  <c r="DK325" i="3"/>
  <c r="DJ325" i="3"/>
  <c r="DI325" i="3"/>
  <c r="DH325" i="3"/>
  <c r="DG325" i="3"/>
  <c r="DF325" i="3"/>
  <c r="DE325" i="3"/>
  <c r="DD325" i="3"/>
  <c r="DC325" i="3"/>
  <c r="DB325" i="3"/>
  <c r="DA325" i="3"/>
  <c r="CZ325" i="3"/>
  <c r="CY325" i="3"/>
  <c r="CX325" i="3"/>
  <c r="CW325" i="3"/>
  <c r="CV325" i="3"/>
  <c r="CU325" i="3"/>
  <c r="CT325" i="3"/>
  <c r="CS325" i="3"/>
  <c r="CR325" i="3"/>
  <c r="CQ325" i="3"/>
  <c r="CP325" i="3"/>
  <c r="CO325" i="3"/>
  <c r="CN325" i="3"/>
  <c r="CM325" i="3"/>
  <c r="CL325" i="3"/>
  <c r="CK325" i="3"/>
  <c r="CJ325" i="3"/>
  <c r="CI325" i="3"/>
  <c r="CH325" i="3"/>
  <c r="CG325" i="3"/>
  <c r="CF325" i="3"/>
  <c r="CE325" i="3"/>
  <c r="CD325" i="3"/>
  <c r="CC325" i="3"/>
  <c r="CB325" i="3"/>
  <c r="CA325" i="3"/>
  <c r="BZ325" i="3"/>
  <c r="BY325" i="3"/>
  <c r="BX325" i="3"/>
  <c r="BW325" i="3"/>
  <c r="BV325" i="3"/>
  <c r="BU325" i="3"/>
  <c r="BT325" i="3"/>
  <c r="BS325" i="3"/>
  <c r="BR325" i="3"/>
  <c r="BQ325" i="3"/>
  <c r="BP325" i="3"/>
  <c r="BO325" i="3"/>
  <c r="BN325" i="3"/>
  <c r="DU324" i="3"/>
  <c r="DT324" i="3"/>
  <c r="DS324" i="3"/>
  <c r="DR324" i="3"/>
  <c r="DQ324" i="3"/>
  <c r="DP324" i="3"/>
  <c r="DO324" i="3"/>
  <c r="DN324" i="3"/>
  <c r="DM324" i="3"/>
  <c r="DL324" i="3"/>
  <c r="DK324" i="3"/>
  <c r="DJ324" i="3"/>
  <c r="DI324" i="3"/>
  <c r="DH324" i="3"/>
  <c r="DG324" i="3"/>
  <c r="DF324" i="3"/>
  <c r="DE324" i="3"/>
  <c r="DD324" i="3"/>
  <c r="DC324" i="3"/>
  <c r="DB324" i="3"/>
  <c r="DA324" i="3"/>
  <c r="CZ324" i="3"/>
  <c r="CY324" i="3"/>
  <c r="CX324" i="3"/>
  <c r="CW324" i="3"/>
  <c r="CV324" i="3"/>
  <c r="CU324" i="3"/>
  <c r="CT324" i="3"/>
  <c r="CS324" i="3"/>
  <c r="CR324" i="3"/>
  <c r="CQ324" i="3"/>
  <c r="CP324" i="3"/>
  <c r="CO324" i="3"/>
  <c r="CN324" i="3"/>
  <c r="CM324" i="3"/>
  <c r="CL324" i="3"/>
  <c r="CK324" i="3"/>
  <c r="CJ324" i="3"/>
  <c r="CI324" i="3"/>
  <c r="CH324" i="3"/>
  <c r="CG324" i="3"/>
  <c r="CF324" i="3"/>
  <c r="CE324" i="3"/>
  <c r="CD324" i="3"/>
  <c r="CC324" i="3"/>
  <c r="CB324" i="3"/>
  <c r="CA324" i="3"/>
  <c r="BZ324" i="3"/>
  <c r="BY324" i="3"/>
  <c r="BX324" i="3"/>
  <c r="BW324" i="3"/>
  <c r="BV324" i="3"/>
  <c r="BU324" i="3"/>
  <c r="BT324" i="3"/>
  <c r="BS324" i="3"/>
  <c r="BR324" i="3"/>
  <c r="BQ324" i="3"/>
  <c r="BP324" i="3"/>
  <c r="BO324" i="3"/>
  <c r="BN324" i="3"/>
  <c r="E324" i="3"/>
  <c r="DU323" i="3"/>
  <c r="DT323" i="3"/>
  <c r="DS323" i="3"/>
  <c r="DR323" i="3"/>
  <c r="DQ323" i="3"/>
  <c r="DP323" i="3"/>
  <c r="DO323" i="3"/>
  <c r="DN323" i="3"/>
  <c r="DM323" i="3"/>
  <c r="DL323" i="3"/>
  <c r="DK323" i="3"/>
  <c r="DJ323" i="3"/>
  <c r="DI323" i="3"/>
  <c r="DH323" i="3"/>
  <c r="DG323" i="3"/>
  <c r="DF323" i="3"/>
  <c r="DE323" i="3"/>
  <c r="DD323" i="3"/>
  <c r="DC323" i="3"/>
  <c r="DB323" i="3"/>
  <c r="DA323" i="3"/>
  <c r="CZ323" i="3"/>
  <c r="CY323" i="3"/>
  <c r="CX323" i="3"/>
  <c r="CW323" i="3"/>
  <c r="CV323" i="3"/>
  <c r="CU323" i="3"/>
  <c r="CT323" i="3"/>
  <c r="CS323" i="3"/>
  <c r="CR323" i="3"/>
  <c r="CQ323" i="3"/>
  <c r="CP323" i="3"/>
  <c r="CO323" i="3"/>
  <c r="CN323" i="3"/>
  <c r="CM323" i="3"/>
  <c r="CL323" i="3"/>
  <c r="CK323" i="3"/>
  <c r="CJ323" i="3"/>
  <c r="CI323" i="3"/>
  <c r="CH323" i="3"/>
  <c r="CG323" i="3"/>
  <c r="CF323" i="3"/>
  <c r="CE323" i="3"/>
  <c r="CD323" i="3"/>
  <c r="CC323" i="3"/>
  <c r="CB323" i="3"/>
  <c r="CA323" i="3"/>
  <c r="BZ323" i="3"/>
  <c r="BY323" i="3"/>
  <c r="BX323" i="3"/>
  <c r="BW323" i="3"/>
  <c r="BV323" i="3"/>
  <c r="BU323" i="3"/>
  <c r="BT323" i="3"/>
  <c r="BS323" i="3"/>
  <c r="BR323" i="3"/>
  <c r="BQ323" i="3"/>
  <c r="BP323" i="3"/>
  <c r="BO323" i="3"/>
  <c r="BN323" i="3"/>
  <c r="E323" i="3"/>
  <c r="DU322" i="3"/>
  <c r="DT322" i="3"/>
  <c r="DS322" i="3"/>
  <c r="DR322" i="3"/>
  <c r="DQ322" i="3"/>
  <c r="DP322" i="3"/>
  <c r="DO322" i="3"/>
  <c r="DN322" i="3"/>
  <c r="DM322" i="3"/>
  <c r="DL322" i="3"/>
  <c r="DK322" i="3"/>
  <c r="DJ322" i="3"/>
  <c r="DI322" i="3"/>
  <c r="DH322" i="3"/>
  <c r="DG322" i="3"/>
  <c r="DF322" i="3"/>
  <c r="DE322" i="3"/>
  <c r="DD322" i="3"/>
  <c r="DC322" i="3"/>
  <c r="DB322" i="3"/>
  <c r="DA322" i="3"/>
  <c r="CZ322" i="3"/>
  <c r="CY322" i="3"/>
  <c r="CX322" i="3"/>
  <c r="CW322" i="3"/>
  <c r="CV322" i="3"/>
  <c r="CU322" i="3"/>
  <c r="CT322" i="3"/>
  <c r="CS322" i="3"/>
  <c r="CR322" i="3"/>
  <c r="CQ322" i="3"/>
  <c r="CP322" i="3"/>
  <c r="CO322" i="3"/>
  <c r="CN322" i="3"/>
  <c r="CM322" i="3"/>
  <c r="CL322" i="3"/>
  <c r="CK322" i="3"/>
  <c r="CJ322" i="3"/>
  <c r="CI322" i="3"/>
  <c r="CH322" i="3"/>
  <c r="CG322" i="3"/>
  <c r="CF322" i="3"/>
  <c r="CE322" i="3"/>
  <c r="CD322" i="3"/>
  <c r="CC322" i="3"/>
  <c r="CB322" i="3"/>
  <c r="CA322" i="3"/>
  <c r="BZ322" i="3"/>
  <c r="BY322" i="3"/>
  <c r="BX322" i="3"/>
  <c r="BW322" i="3"/>
  <c r="BV322" i="3"/>
  <c r="BU322" i="3"/>
  <c r="BT322" i="3"/>
  <c r="BS322" i="3"/>
  <c r="BR322" i="3"/>
  <c r="BQ322" i="3"/>
  <c r="BP322" i="3"/>
  <c r="BO322" i="3"/>
  <c r="BN322" i="3"/>
  <c r="C322" i="3"/>
  <c r="B322" i="3"/>
  <c r="A322" i="3"/>
  <c r="DU321" i="3"/>
  <c r="DT321" i="3"/>
  <c r="DS321" i="3"/>
  <c r="DR321" i="3"/>
  <c r="DQ321" i="3"/>
  <c r="DP321" i="3"/>
  <c r="DO321" i="3"/>
  <c r="DN321" i="3"/>
  <c r="DM321" i="3"/>
  <c r="DL321" i="3"/>
  <c r="DK321" i="3"/>
  <c r="DJ321" i="3"/>
  <c r="DI321" i="3"/>
  <c r="DH321" i="3"/>
  <c r="DG321" i="3"/>
  <c r="DF321" i="3"/>
  <c r="DE321" i="3"/>
  <c r="DD321" i="3"/>
  <c r="DC321" i="3"/>
  <c r="DB321" i="3"/>
  <c r="DA321" i="3"/>
  <c r="CZ321" i="3"/>
  <c r="CY321" i="3"/>
  <c r="CX321" i="3"/>
  <c r="CW321" i="3"/>
  <c r="CV321" i="3"/>
  <c r="CU321" i="3"/>
  <c r="CT321" i="3"/>
  <c r="CS321" i="3"/>
  <c r="CR321" i="3"/>
  <c r="CQ321" i="3"/>
  <c r="CP321" i="3"/>
  <c r="CO321" i="3"/>
  <c r="CN321" i="3"/>
  <c r="CM321" i="3"/>
  <c r="CL321" i="3"/>
  <c r="CK321" i="3"/>
  <c r="CJ321" i="3"/>
  <c r="CI321" i="3"/>
  <c r="CH321" i="3"/>
  <c r="CG321" i="3"/>
  <c r="CF321" i="3"/>
  <c r="CE321" i="3"/>
  <c r="CD321" i="3"/>
  <c r="CC321" i="3"/>
  <c r="CB321" i="3"/>
  <c r="CA321" i="3"/>
  <c r="BZ321" i="3"/>
  <c r="BY321" i="3"/>
  <c r="BX321" i="3"/>
  <c r="BW321" i="3"/>
  <c r="BV321" i="3"/>
  <c r="BU321" i="3"/>
  <c r="BT321" i="3"/>
  <c r="BS321" i="3"/>
  <c r="BR321" i="3"/>
  <c r="BQ321" i="3"/>
  <c r="BP321" i="3"/>
  <c r="BO321" i="3"/>
  <c r="BN321" i="3"/>
  <c r="D321" i="3"/>
  <c r="C321" i="3"/>
  <c r="B321" i="3"/>
  <c r="A321" i="3"/>
  <c r="DU320" i="3"/>
  <c r="DT320" i="3"/>
  <c r="DS320" i="3"/>
  <c r="DR320" i="3"/>
  <c r="DQ320" i="3"/>
  <c r="DP320" i="3"/>
  <c r="DO320" i="3"/>
  <c r="DN320" i="3"/>
  <c r="DM320" i="3"/>
  <c r="DL320" i="3"/>
  <c r="DK320" i="3"/>
  <c r="DJ320" i="3"/>
  <c r="DI320" i="3"/>
  <c r="DH320" i="3"/>
  <c r="DG320" i="3"/>
  <c r="DF320" i="3"/>
  <c r="DE320" i="3"/>
  <c r="DD320" i="3"/>
  <c r="DC320" i="3"/>
  <c r="DB320" i="3"/>
  <c r="DA320" i="3"/>
  <c r="CZ320" i="3"/>
  <c r="CY320" i="3"/>
  <c r="CX320" i="3"/>
  <c r="CW320" i="3"/>
  <c r="CV320" i="3"/>
  <c r="CU320" i="3"/>
  <c r="CT320" i="3"/>
  <c r="CS320" i="3"/>
  <c r="CR320" i="3"/>
  <c r="CQ320" i="3"/>
  <c r="CP320" i="3"/>
  <c r="CO320" i="3"/>
  <c r="CN320" i="3"/>
  <c r="CM320" i="3"/>
  <c r="CL320" i="3"/>
  <c r="CK320" i="3"/>
  <c r="CJ320" i="3"/>
  <c r="CI320" i="3"/>
  <c r="CH320" i="3"/>
  <c r="CG320" i="3"/>
  <c r="CF320" i="3"/>
  <c r="CE320" i="3"/>
  <c r="CD320" i="3"/>
  <c r="CC320" i="3"/>
  <c r="CB320" i="3"/>
  <c r="CA320" i="3"/>
  <c r="BZ320" i="3"/>
  <c r="BY320" i="3"/>
  <c r="BX320" i="3"/>
  <c r="BW320" i="3"/>
  <c r="BV320" i="3"/>
  <c r="BU320" i="3"/>
  <c r="BT320" i="3"/>
  <c r="BS320" i="3"/>
  <c r="BR320" i="3"/>
  <c r="BQ320" i="3"/>
  <c r="BP320" i="3"/>
  <c r="BO320" i="3"/>
  <c r="BN320" i="3"/>
  <c r="E320" i="3"/>
  <c r="DU319" i="3"/>
  <c r="DT319" i="3"/>
  <c r="DS319" i="3"/>
  <c r="DR319" i="3"/>
  <c r="DQ319" i="3"/>
  <c r="DP319" i="3"/>
  <c r="DO319" i="3"/>
  <c r="DN319" i="3"/>
  <c r="DM319" i="3"/>
  <c r="DL319" i="3"/>
  <c r="DK319" i="3"/>
  <c r="DJ319" i="3"/>
  <c r="DI319" i="3"/>
  <c r="DH319" i="3"/>
  <c r="DG319" i="3"/>
  <c r="DF319" i="3"/>
  <c r="DE319" i="3"/>
  <c r="DD319" i="3"/>
  <c r="DC319" i="3"/>
  <c r="DB319" i="3"/>
  <c r="DA319" i="3"/>
  <c r="CZ319" i="3"/>
  <c r="CY319" i="3"/>
  <c r="CX319" i="3"/>
  <c r="CW319" i="3"/>
  <c r="CV319" i="3"/>
  <c r="CU319" i="3"/>
  <c r="CT319" i="3"/>
  <c r="CS319" i="3"/>
  <c r="CR319" i="3"/>
  <c r="CQ319" i="3"/>
  <c r="CP319" i="3"/>
  <c r="CO319" i="3"/>
  <c r="CN319" i="3"/>
  <c r="CM319" i="3"/>
  <c r="CL319" i="3"/>
  <c r="CK319" i="3"/>
  <c r="CJ319" i="3"/>
  <c r="CI319" i="3"/>
  <c r="CH319" i="3"/>
  <c r="CG319" i="3"/>
  <c r="CF319" i="3"/>
  <c r="CE319" i="3"/>
  <c r="CD319" i="3"/>
  <c r="CC319" i="3"/>
  <c r="CB319" i="3"/>
  <c r="CA319" i="3"/>
  <c r="BZ319" i="3"/>
  <c r="BY319" i="3"/>
  <c r="BX319" i="3"/>
  <c r="BW319" i="3"/>
  <c r="BV319" i="3"/>
  <c r="BU319" i="3"/>
  <c r="BT319" i="3"/>
  <c r="BS319" i="3"/>
  <c r="BR319" i="3"/>
  <c r="BQ319" i="3"/>
  <c r="BP319" i="3"/>
  <c r="BO319" i="3"/>
  <c r="BN319" i="3"/>
  <c r="DU318" i="3"/>
  <c r="DT318" i="3"/>
  <c r="DS318" i="3"/>
  <c r="DR318" i="3"/>
  <c r="DQ318" i="3"/>
  <c r="DP318" i="3"/>
  <c r="DO318" i="3"/>
  <c r="DN318" i="3"/>
  <c r="DM318" i="3"/>
  <c r="DL318" i="3"/>
  <c r="DK318" i="3"/>
  <c r="DJ318" i="3"/>
  <c r="DI318" i="3"/>
  <c r="DH318" i="3"/>
  <c r="DG318" i="3"/>
  <c r="DF318" i="3"/>
  <c r="DE318" i="3"/>
  <c r="DD318" i="3"/>
  <c r="DC318" i="3"/>
  <c r="DB318" i="3"/>
  <c r="DA318" i="3"/>
  <c r="CZ318" i="3"/>
  <c r="CY318" i="3"/>
  <c r="CX318" i="3"/>
  <c r="CW318" i="3"/>
  <c r="CV318" i="3"/>
  <c r="CU318" i="3"/>
  <c r="CT318" i="3"/>
  <c r="CS318" i="3"/>
  <c r="CR318" i="3"/>
  <c r="CQ318" i="3"/>
  <c r="CP318" i="3"/>
  <c r="CO318" i="3"/>
  <c r="CN318" i="3"/>
  <c r="CM318" i="3"/>
  <c r="CL318" i="3"/>
  <c r="CK318" i="3"/>
  <c r="CJ318" i="3"/>
  <c r="CI318" i="3"/>
  <c r="CH318" i="3"/>
  <c r="CG318" i="3"/>
  <c r="CF318" i="3"/>
  <c r="CE318" i="3"/>
  <c r="CD318" i="3"/>
  <c r="CC318" i="3"/>
  <c r="CB318" i="3"/>
  <c r="CA318" i="3"/>
  <c r="BZ318" i="3"/>
  <c r="BY318" i="3"/>
  <c r="BX318" i="3"/>
  <c r="BW318" i="3"/>
  <c r="BV318" i="3"/>
  <c r="BU318" i="3"/>
  <c r="BT318" i="3"/>
  <c r="BS318" i="3"/>
  <c r="BR318" i="3"/>
  <c r="BQ318" i="3"/>
  <c r="BP318" i="3"/>
  <c r="BO318" i="3"/>
  <c r="BN318" i="3"/>
  <c r="DU317" i="3"/>
  <c r="DT317" i="3"/>
  <c r="DS317" i="3"/>
  <c r="DR317" i="3"/>
  <c r="DQ317" i="3"/>
  <c r="DP317" i="3"/>
  <c r="DO317" i="3"/>
  <c r="DN317" i="3"/>
  <c r="DM317" i="3"/>
  <c r="DL317" i="3"/>
  <c r="DK317" i="3"/>
  <c r="DJ317" i="3"/>
  <c r="DI317" i="3"/>
  <c r="DH317" i="3"/>
  <c r="DG317" i="3"/>
  <c r="DF317" i="3"/>
  <c r="DE317" i="3"/>
  <c r="DD317" i="3"/>
  <c r="DC317" i="3"/>
  <c r="DB317" i="3"/>
  <c r="DA317" i="3"/>
  <c r="CZ317" i="3"/>
  <c r="CY317" i="3"/>
  <c r="CX317" i="3"/>
  <c r="CW317" i="3"/>
  <c r="CV317" i="3"/>
  <c r="CU317" i="3"/>
  <c r="CT317" i="3"/>
  <c r="CS317" i="3"/>
  <c r="CR317" i="3"/>
  <c r="CQ317" i="3"/>
  <c r="CP317" i="3"/>
  <c r="CO317" i="3"/>
  <c r="CN317" i="3"/>
  <c r="CM317" i="3"/>
  <c r="CL317" i="3"/>
  <c r="CK317" i="3"/>
  <c r="CJ317" i="3"/>
  <c r="CI317" i="3"/>
  <c r="CH317" i="3"/>
  <c r="CG317" i="3"/>
  <c r="CF317" i="3"/>
  <c r="CE317" i="3"/>
  <c r="CD317" i="3"/>
  <c r="CC317" i="3"/>
  <c r="CB317" i="3"/>
  <c r="CA317" i="3"/>
  <c r="BZ317" i="3"/>
  <c r="BY317" i="3"/>
  <c r="BX317" i="3"/>
  <c r="BW317" i="3"/>
  <c r="BV317" i="3"/>
  <c r="BU317" i="3"/>
  <c r="BT317" i="3"/>
  <c r="BS317" i="3"/>
  <c r="BR317" i="3"/>
  <c r="BQ317" i="3"/>
  <c r="BP317" i="3"/>
  <c r="BO317" i="3"/>
  <c r="BN317" i="3"/>
  <c r="E317" i="3"/>
  <c r="D317" i="3"/>
  <c r="DU316" i="3"/>
  <c r="DT316" i="3"/>
  <c r="DS316" i="3"/>
  <c r="DR316" i="3"/>
  <c r="DQ316" i="3"/>
  <c r="DP316" i="3"/>
  <c r="DO316" i="3"/>
  <c r="DN316" i="3"/>
  <c r="DM316" i="3"/>
  <c r="DL316" i="3"/>
  <c r="DK316" i="3"/>
  <c r="DJ316" i="3"/>
  <c r="DI316" i="3"/>
  <c r="DH316" i="3"/>
  <c r="DG316" i="3"/>
  <c r="DF316" i="3"/>
  <c r="DE316" i="3"/>
  <c r="DD316" i="3"/>
  <c r="DC316" i="3"/>
  <c r="DB316" i="3"/>
  <c r="DA316" i="3"/>
  <c r="CZ316" i="3"/>
  <c r="CY316" i="3"/>
  <c r="CX316" i="3"/>
  <c r="CW316" i="3"/>
  <c r="CV316" i="3"/>
  <c r="CU316" i="3"/>
  <c r="CT316" i="3"/>
  <c r="CS316" i="3"/>
  <c r="CR316" i="3"/>
  <c r="CQ316" i="3"/>
  <c r="CP316" i="3"/>
  <c r="CO316" i="3"/>
  <c r="CN316" i="3"/>
  <c r="CM316" i="3"/>
  <c r="CL316" i="3"/>
  <c r="CK316" i="3"/>
  <c r="CJ316" i="3"/>
  <c r="CI316" i="3"/>
  <c r="CH316" i="3"/>
  <c r="CG316" i="3"/>
  <c r="CF316" i="3"/>
  <c r="CE316" i="3"/>
  <c r="CD316" i="3"/>
  <c r="CC316" i="3"/>
  <c r="CB316" i="3"/>
  <c r="CA316" i="3"/>
  <c r="BZ316" i="3"/>
  <c r="BY316" i="3"/>
  <c r="BX316" i="3"/>
  <c r="BW316" i="3"/>
  <c r="BV316" i="3"/>
  <c r="BU316" i="3"/>
  <c r="BT316" i="3"/>
  <c r="BS316" i="3"/>
  <c r="BR316" i="3"/>
  <c r="BQ316" i="3"/>
  <c r="BP316" i="3"/>
  <c r="BO316" i="3"/>
  <c r="BN316" i="3"/>
  <c r="DU315" i="3"/>
  <c r="DT315" i="3"/>
  <c r="DS315" i="3"/>
  <c r="DR315" i="3"/>
  <c r="DQ315" i="3"/>
  <c r="DP315" i="3"/>
  <c r="DO315" i="3"/>
  <c r="DN315" i="3"/>
  <c r="DM315" i="3"/>
  <c r="DL315" i="3"/>
  <c r="DK315" i="3"/>
  <c r="DJ315" i="3"/>
  <c r="DI315" i="3"/>
  <c r="DH315" i="3"/>
  <c r="DG315" i="3"/>
  <c r="DF315" i="3"/>
  <c r="DE315" i="3"/>
  <c r="DD315" i="3"/>
  <c r="DC315" i="3"/>
  <c r="DB315" i="3"/>
  <c r="DA315" i="3"/>
  <c r="CZ315" i="3"/>
  <c r="CY315" i="3"/>
  <c r="CX315" i="3"/>
  <c r="CW315" i="3"/>
  <c r="CV315" i="3"/>
  <c r="CU315" i="3"/>
  <c r="CT315" i="3"/>
  <c r="CS315" i="3"/>
  <c r="CR315" i="3"/>
  <c r="CQ315" i="3"/>
  <c r="CP315" i="3"/>
  <c r="CO315" i="3"/>
  <c r="CN315" i="3"/>
  <c r="CM315" i="3"/>
  <c r="CL315" i="3"/>
  <c r="CK315" i="3"/>
  <c r="CJ315" i="3"/>
  <c r="CI315" i="3"/>
  <c r="CH315" i="3"/>
  <c r="CG315" i="3"/>
  <c r="CF315" i="3"/>
  <c r="CE315" i="3"/>
  <c r="CD315" i="3"/>
  <c r="CC315" i="3"/>
  <c r="CB315" i="3"/>
  <c r="CA315" i="3"/>
  <c r="BZ315" i="3"/>
  <c r="BY315" i="3"/>
  <c r="BX315" i="3"/>
  <c r="BW315" i="3"/>
  <c r="BV315" i="3"/>
  <c r="BU315" i="3"/>
  <c r="BT315" i="3"/>
  <c r="BS315" i="3"/>
  <c r="BR315" i="3"/>
  <c r="BQ315" i="3"/>
  <c r="BP315" i="3"/>
  <c r="BO315" i="3"/>
  <c r="BN315" i="3"/>
  <c r="E315" i="3"/>
  <c r="DU314" i="3"/>
  <c r="DT314" i="3"/>
  <c r="DS314" i="3"/>
  <c r="DR314" i="3"/>
  <c r="DQ314" i="3"/>
  <c r="DP314" i="3"/>
  <c r="DO314" i="3"/>
  <c r="DN314" i="3"/>
  <c r="DM314" i="3"/>
  <c r="DL314" i="3"/>
  <c r="DK314" i="3"/>
  <c r="DJ314" i="3"/>
  <c r="DI314" i="3"/>
  <c r="DH314" i="3"/>
  <c r="DG314" i="3"/>
  <c r="DF314" i="3"/>
  <c r="DE314" i="3"/>
  <c r="DD314" i="3"/>
  <c r="DC314" i="3"/>
  <c r="DB314" i="3"/>
  <c r="DA314" i="3"/>
  <c r="CZ314" i="3"/>
  <c r="CY314" i="3"/>
  <c r="CX314" i="3"/>
  <c r="CW314" i="3"/>
  <c r="CV314" i="3"/>
  <c r="CU314" i="3"/>
  <c r="CT314" i="3"/>
  <c r="CS314" i="3"/>
  <c r="CR314" i="3"/>
  <c r="CQ314" i="3"/>
  <c r="CP314" i="3"/>
  <c r="CO314" i="3"/>
  <c r="CN314" i="3"/>
  <c r="CM314" i="3"/>
  <c r="CL314" i="3"/>
  <c r="CK314" i="3"/>
  <c r="CJ314" i="3"/>
  <c r="CI314" i="3"/>
  <c r="CH314" i="3"/>
  <c r="CG314" i="3"/>
  <c r="CF314" i="3"/>
  <c r="CE314" i="3"/>
  <c r="CD314" i="3"/>
  <c r="CC314" i="3"/>
  <c r="CB314" i="3"/>
  <c r="CA314" i="3"/>
  <c r="BZ314" i="3"/>
  <c r="BY314" i="3"/>
  <c r="BX314" i="3"/>
  <c r="BW314" i="3"/>
  <c r="BV314" i="3"/>
  <c r="BU314" i="3"/>
  <c r="BT314" i="3"/>
  <c r="BS314" i="3"/>
  <c r="BR314" i="3"/>
  <c r="BQ314" i="3"/>
  <c r="BP314" i="3"/>
  <c r="BO314" i="3"/>
  <c r="BN314" i="3"/>
  <c r="E314" i="3"/>
  <c r="DU313" i="3"/>
  <c r="DT313" i="3"/>
  <c r="DS313" i="3"/>
  <c r="DR313" i="3"/>
  <c r="DQ313" i="3"/>
  <c r="DP313" i="3"/>
  <c r="DO313" i="3"/>
  <c r="DN313" i="3"/>
  <c r="DM313" i="3"/>
  <c r="DL313" i="3"/>
  <c r="DK313" i="3"/>
  <c r="DJ313" i="3"/>
  <c r="DI313" i="3"/>
  <c r="DH313" i="3"/>
  <c r="DG313" i="3"/>
  <c r="DF313" i="3"/>
  <c r="DE313" i="3"/>
  <c r="DD313" i="3"/>
  <c r="DC313" i="3"/>
  <c r="DB313" i="3"/>
  <c r="DA313" i="3"/>
  <c r="CZ313" i="3"/>
  <c r="CY313" i="3"/>
  <c r="CX313" i="3"/>
  <c r="CW313" i="3"/>
  <c r="CV313" i="3"/>
  <c r="CU313" i="3"/>
  <c r="CT313" i="3"/>
  <c r="CS313" i="3"/>
  <c r="CR313" i="3"/>
  <c r="CQ313" i="3"/>
  <c r="CP313" i="3"/>
  <c r="CO313" i="3"/>
  <c r="CN313" i="3"/>
  <c r="CM313" i="3"/>
  <c r="CL313" i="3"/>
  <c r="CK313" i="3"/>
  <c r="CJ313" i="3"/>
  <c r="CI313" i="3"/>
  <c r="CH313" i="3"/>
  <c r="CG313" i="3"/>
  <c r="CF313" i="3"/>
  <c r="CE313" i="3"/>
  <c r="CD313" i="3"/>
  <c r="CC313" i="3"/>
  <c r="CB313" i="3"/>
  <c r="CA313" i="3"/>
  <c r="BZ313" i="3"/>
  <c r="BY313" i="3"/>
  <c r="BX313" i="3"/>
  <c r="BW313" i="3"/>
  <c r="BV313" i="3"/>
  <c r="BU313" i="3"/>
  <c r="BT313" i="3"/>
  <c r="BS313" i="3"/>
  <c r="BR313" i="3"/>
  <c r="BQ313" i="3"/>
  <c r="BP313" i="3"/>
  <c r="BO313" i="3"/>
  <c r="BN313" i="3"/>
  <c r="D313" i="3"/>
  <c r="C313" i="3"/>
  <c r="DU312" i="3"/>
  <c r="DT312" i="3"/>
  <c r="DS312" i="3"/>
  <c r="DR312" i="3"/>
  <c r="DQ312" i="3"/>
  <c r="DP312" i="3"/>
  <c r="DO312" i="3"/>
  <c r="DN312" i="3"/>
  <c r="DM312" i="3"/>
  <c r="DL312" i="3"/>
  <c r="DK312" i="3"/>
  <c r="DJ312" i="3"/>
  <c r="DI312" i="3"/>
  <c r="DH312" i="3"/>
  <c r="DG312" i="3"/>
  <c r="DF312" i="3"/>
  <c r="DE312" i="3"/>
  <c r="DD312" i="3"/>
  <c r="DC312" i="3"/>
  <c r="DB312" i="3"/>
  <c r="DA312" i="3"/>
  <c r="CZ312" i="3"/>
  <c r="CY312" i="3"/>
  <c r="CX312" i="3"/>
  <c r="CW312" i="3"/>
  <c r="CV312" i="3"/>
  <c r="CU312" i="3"/>
  <c r="CT312" i="3"/>
  <c r="CS312" i="3"/>
  <c r="CR312" i="3"/>
  <c r="CQ312" i="3"/>
  <c r="CP312" i="3"/>
  <c r="CO312" i="3"/>
  <c r="CN312" i="3"/>
  <c r="CM312" i="3"/>
  <c r="CL312" i="3"/>
  <c r="CK312" i="3"/>
  <c r="CJ312" i="3"/>
  <c r="CI312" i="3"/>
  <c r="CH312" i="3"/>
  <c r="CG312" i="3"/>
  <c r="CF312" i="3"/>
  <c r="CE312" i="3"/>
  <c r="CD312" i="3"/>
  <c r="CC312" i="3"/>
  <c r="CB312" i="3"/>
  <c r="CA312" i="3"/>
  <c r="BZ312" i="3"/>
  <c r="BY312" i="3"/>
  <c r="BX312" i="3"/>
  <c r="BW312" i="3"/>
  <c r="BV312" i="3"/>
  <c r="BU312" i="3"/>
  <c r="BT312" i="3"/>
  <c r="BS312" i="3"/>
  <c r="BR312" i="3"/>
  <c r="BQ312" i="3"/>
  <c r="BP312" i="3"/>
  <c r="BO312" i="3"/>
  <c r="BN312" i="3"/>
  <c r="E312" i="3"/>
  <c r="D312" i="3"/>
  <c r="DU311" i="3"/>
  <c r="DT311" i="3"/>
  <c r="DS311" i="3"/>
  <c r="DR311" i="3"/>
  <c r="DQ311" i="3"/>
  <c r="DP311" i="3"/>
  <c r="DO311" i="3"/>
  <c r="DN311" i="3"/>
  <c r="DM311" i="3"/>
  <c r="DL311" i="3"/>
  <c r="DK311" i="3"/>
  <c r="DJ311" i="3"/>
  <c r="DI311" i="3"/>
  <c r="DH311" i="3"/>
  <c r="DG311" i="3"/>
  <c r="DF311" i="3"/>
  <c r="DE311" i="3"/>
  <c r="DD311" i="3"/>
  <c r="DC311" i="3"/>
  <c r="DB311" i="3"/>
  <c r="DA311" i="3"/>
  <c r="CZ311" i="3"/>
  <c r="CY311" i="3"/>
  <c r="CX311" i="3"/>
  <c r="CW311" i="3"/>
  <c r="CV311" i="3"/>
  <c r="CU311" i="3"/>
  <c r="CT311" i="3"/>
  <c r="CS311" i="3"/>
  <c r="CR311" i="3"/>
  <c r="CQ311" i="3"/>
  <c r="CP311" i="3"/>
  <c r="CO311" i="3"/>
  <c r="CN311" i="3"/>
  <c r="CM311" i="3"/>
  <c r="CL311" i="3"/>
  <c r="CK311" i="3"/>
  <c r="CJ311" i="3"/>
  <c r="CI311" i="3"/>
  <c r="CH311" i="3"/>
  <c r="CG311" i="3"/>
  <c r="CF311" i="3"/>
  <c r="CE311" i="3"/>
  <c r="CD311" i="3"/>
  <c r="CC311" i="3"/>
  <c r="CB311" i="3"/>
  <c r="CA311" i="3"/>
  <c r="BZ311" i="3"/>
  <c r="BY311" i="3"/>
  <c r="BX311" i="3"/>
  <c r="BW311" i="3"/>
  <c r="BV311" i="3"/>
  <c r="BU311" i="3"/>
  <c r="BT311" i="3"/>
  <c r="BS311" i="3"/>
  <c r="BR311" i="3"/>
  <c r="BQ311" i="3"/>
  <c r="BP311" i="3"/>
  <c r="BO311" i="3"/>
  <c r="BN311" i="3"/>
  <c r="D311" i="3"/>
  <c r="C311" i="3"/>
  <c r="B311" i="3"/>
  <c r="DU310" i="3"/>
  <c r="DT310" i="3"/>
  <c r="DS310" i="3"/>
  <c r="DR310" i="3"/>
  <c r="DQ310" i="3"/>
  <c r="DP310" i="3"/>
  <c r="DO310" i="3"/>
  <c r="DN310" i="3"/>
  <c r="DM310" i="3"/>
  <c r="DL310" i="3"/>
  <c r="DK310" i="3"/>
  <c r="DJ310" i="3"/>
  <c r="DI310" i="3"/>
  <c r="DH310" i="3"/>
  <c r="DG310" i="3"/>
  <c r="DF310" i="3"/>
  <c r="DE310" i="3"/>
  <c r="DD310" i="3"/>
  <c r="DC310" i="3"/>
  <c r="DB310" i="3"/>
  <c r="DA310" i="3"/>
  <c r="CZ310" i="3"/>
  <c r="CY310" i="3"/>
  <c r="CX310" i="3"/>
  <c r="CW310" i="3"/>
  <c r="CV310" i="3"/>
  <c r="CU310" i="3"/>
  <c r="CT310" i="3"/>
  <c r="CS310" i="3"/>
  <c r="CR310" i="3"/>
  <c r="CQ310" i="3"/>
  <c r="CP310" i="3"/>
  <c r="CO310" i="3"/>
  <c r="CN310" i="3"/>
  <c r="CM310" i="3"/>
  <c r="CL310" i="3"/>
  <c r="CK310" i="3"/>
  <c r="CJ310" i="3"/>
  <c r="CI310" i="3"/>
  <c r="CH310" i="3"/>
  <c r="CG310" i="3"/>
  <c r="CF310" i="3"/>
  <c r="CE310" i="3"/>
  <c r="CD310" i="3"/>
  <c r="CC310" i="3"/>
  <c r="CB310" i="3"/>
  <c r="CA310" i="3"/>
  <c r="BZ310" i="3"/>
  <c r="BY310" i="3"/>
  <c r="BX310" i="3"/>
  <c r="BW310" i="3"/>
  <c r="BV310" i="3"/>
  <c r="BU310" i="3"/>
  <c r="BT310" i="3"/>
  <c r="BS310" i="3"/>
  <c r="BR310" i="3"/>
  <c r="BQ310" i="3"/>
  <c r="BP310" i="3"/>
  <c r="BO310" i="3"/>
  <c r="BN310" i="3"/>
  <c r="E310" i="3"/>
  <c r="DU309" i="3"/>
  <c r="DT309" i="3"/>
  <c r="DS309" i="3"/>
  <c r="DR309" i="3"/>
  <c r="DQ309" i="3"/>
  <c r="DP309" i="3"/>
  <c r="DO309" i="3"/>
  <c r="DN309" i="3"/>
  <c r="DM309" i="3"/>
  <c r="DL309" i="3"/>
  <c r="DK309" i="3"/>
  <c r="DJ309" i="3"/>
  <c r="DI309" i="3"/>
  <c r="DH309" i="3"/>
  <c r="DG309" i="3"/>
  <c r="DF309" i="3"/>
  <c r="DE309" i="3"/>
  <c r="DD309" i="3"/>
  <c r="DC309" i="3"/>
  <c r="DB309" i="3"/>
  <c r="DA309" i="3"/>
  <c r="CZ309" i="3"/>
  <c r="CY309" i="3"/>
  <c r="CX309" i="3"/>
  <c r="CW309" i="3"/>
  <c r="CV309" i="3"/>
  <c r="CU309" i="3"/>
  <c r="CT309" i="3"/>
  <c r="CS309" i="3"/>
  <c r="CR309" i="3"/>
  <c r="CQ309" i="3"/>
  <c r="CP309" i="3"/>
  <c r="CO309" i="3"/>
  <c r="CN309" i="3"/>
  <c r="CM309" i="3"/>
  <c r="CL309" i="3"/>
  <c r="CK309" i="3"/>
  <c r="CJ309" i="3"/>
  <c r="CI309" i="3"/>
  <c r="CH309" i="3"/>
  <c r="CG309" i="3"/>
  <c r="CF309" i="3"/>
  <c r="CE309" i="3"/>
  <c r="CD309" i="3"/>
  <c r="CC309" i="3"/>
  <c r="CB309" i="3"/>
  <c r="CA309" i="3"/>
  <c r="BZ309" i="3"/>
  <c r="BY309" i="3"/>
  <c r="BX309" i="3"/>
  <c r="BW309" i="3"/>
  <c r="BV309" i="3"/>
  <c r="BU309" i="3"/>
  <c r="BT309" i="3"/>
  <c r="BS309" i="3"/>
  <c r="BR309" i="3"/>
  <c r="BQ309" i="3"/>
  <c r="BP309" i="3"/>
  <c r="BO309" i="3"/>
  <c r="BN309" i="3"/>
  <c r="A309" i="3"/>
  <c r="DU308" i="3"/>
  <c r="DT308" i="3"/>
  <c r="DS308" i="3"/>
  <c r="DR308" i="3"/>
  <c r="DQ308" i="3"/>
  <c r="DP308" i="3"/>
  <c r="DO308" i="3"/>
  <c r="DN308" i="3"/>
  <c r="DM308" i="3"/>
  <c r="DL308" i="3"/>
  <c r="DK308" i="3"/>
  <c r="DJ308" i="3"/>
  <c r="DI308" i="3"/>
  <c r="DH308" i="3"/>
  <c r="DG308" i="3"/>
  <c r="DF308" i="3"/>
  <c r="DE308" i="3"/>
  <c r="DD308" i="3"/>
  <c r="DC308" i="3"/>
  <c r="DB308" i="3"/>
  <c r="DA308" i="3"/>
  <c r="CZ308" i="3"/>
  <c r="CY308" i="3"/>
  <c r="CX308" i="3"/>
  <c r="CW308" i="3"/>
  <c r="CV308" i="3"/>
  <c r="CU308" i="3"/>
  <c r="CT308" i="3"/>
  <c r="CS308" i="3"/>
  <c r="CR308" i="3"/>
  <c r="CQ308" i="3"/>
  <c r="CP308" i="3"/>
  <c r="CO308" i="3"/>
  <c r="CN308" i="3"/>
  <c r="CM308" i="3"/>
  <c r="CL308" i="3"/>
  <c r="CK308" i="3"/>
  <c r="CJ308" i="3"/>
  <c r="CI308" i="3"/>
  <c r="CH308" i="3"/>
  <c r="CG308" i="3"/>
  <c r="CF308" i="3"/>
  <c r="CE308" i="3"/>
  <c r="CD308" i="3"/>
  <c r="CC308" i="3"/>
  <c r="CB308" i="3"/>
  <c r="CA308" i="3"/>
  <c r="BZ308" i="3"/>
  <c r="BY308" i="3"/>
  <c r="BX308" i="3"/>
  <c r="BW308" i="3"/>
  <c r="BV308" i="3"/>
  <c r="BU308" i="3"/>
  <c r="BT308" i="3"/>
  <c r="BS308" i="3"/>
  <c r="BR308" i="3"/>
  <c r="BQ308" i="3"/>
  <c r="BP308" i="3"/>
  <c r="BO308" i="3"/>
  <c r="BN308" i="3"/>
  <c r="E308" i="3"/>
  <c r="DU307" i="3"/>
  <c r="DT307" i="3"/>
  <c r="DS307" i="3"/>
  <c r="DR307" i="3"/>
  <c r="DQ307" i="3"/>
  <c r="DP307" i="3"/>
  <c r="DO307" i="3"/>
  <c r="DN307" i="3"/>
  <c r="DM307" i="3"/>
  <c r="DL307" i="3"/>
  <c r="DK307" i="3"/>
  <c r="DJ307" i="3"/>
  <c r="DI307" i="3"/>
  <c r="DH307" i="3"/>
  <c r="DG307" i="3"/>
  <c r="DF307" i="3"/>
  <c r="DE307" i="3"/>
  <c r="DD307" i="3"/>
  <c r="DC307" i="3"/>
  <c r="DB307" i="3"/>
  <c r="DA307" i="3"/>
  <c r="CZ307" i="3"/>
  <c r="CY307" i="3"/>
  <c r="CX307" i="3"/>
  <c r="CW307" i="3"/>
  <c r="CV307" i="3"/>
  <c r="CU307" i="3"/>
  <c r="CT307" i="3"/>
  <c r="CS307" i="3"/>
  <c r="CR307" i="3"/>
  <c r="CQ307" i="3"/>
  <c r="CP307" i="3"/>
  <c r="CO307" i="3"/>
  <c r="CN307" i="3"/>
  <c r="CM307" i="3"/>
  <c r="CL307" i="3"/>
  <c r="CK307" i="3"/>
  <c r="CJ307" i="3"/>
  <c r="CI307" i="3"/>
  <c r="CH307" i="3"/>
  <c r="CG307" i="3"/>
  <c r="CF307" i="3"/>
  <c r="CE307" i="3"/>
  <c r="CD307" i="3"/>
  <c r="CC307" i="3"/>
  <c r="CB307" i="3"/>
  <c r="CA307" i="3"/>
  <c r="BZ307" i="3"/>
  <c r="BY307" i="3"/>
  <c r="BX307" i="3"/>
  <c r="BW307" i="3"/>
  <c r="BV307" i="3"/>
  <c r="BU307" i="3"/>
  <c r="BT307" i="3"/>
  <c r="BS307" i="3"/>
  <c r="BR307" i="3"/>
  <c r="BQ307" i="3"/>
  <c r="BP307" i="3"/>
  <c r="BO307" i="3"/>
  <c r="BN307" i="3"/>
  <c r="A307" i="3"/>
  <c r="DU306" i="3"/>
  <c r="DT306" i="3"/>
  <c r="DS306" i="3"/>
  <c r="DR306" i="3"/>
  <c r="DQ306" i="3"/>
  <c r="DP306" i="3"/>
  <c r="DO306" i="3"/>
  <c r="DN306" i="3"/>
  <c r="DM306" i="3"/>
  <c r="DL306" i="3"/>
  <c r="DK306" i="3"/>
  <c r="DJ306" i="3"/>
  <c r="DI306" i="3"/>
  <c r="DH306" i="3"/>
  <c r="DG306" i="3"/>
  <c r="DF306" i="3"/>
  <c r="DE306" i="3"/>
  <c r="DD306" i="3"/>
  <c r="DC306" i="3"/>
  <c r="DB306" i="3"/>
  <c r="DA306" i="3"/>
  <c r="CZ306" i="3"/>
  <c r="CY306" i="3"/>
  <c r="CX306" i="3"/>
  <c r="CW306" i="3"/>
  <c r="CV306" i="3"/>
  <c r="CU306" i="3"/>
  <c r="CT306" i="3"/>
  <c r="CS306" i="3"/>
  <c r="CR306" i="3"/>
  <c r="CQ306" i="3"/>
  <c r="CP306" i="3"/>
  <c r="CO306" i="3"/>
  <c r="CN306" i="3"/>
  <c r="CM306" i="3"/>
  <c r="CL306" i="3"/>
  <c r="CK306" i="3"/>
  <c r="CJ306" i="3"/>
  <c r="CI306" i="3"/>
  <c r="CH306" i="3"/>
  <c r="CG306" i="3"/>
  <c r="CF306" i="3"/>
  <c r="CE306" i="3"/>
  <c r="CD306" i="3"/>
  <c r="CC306" i="3"/>
  <c r="CB306" i="3"/>
  <c r="CA306" i="3"/>
  <c r="BZ306" i="3"/>
  <c r="BY306" i="3"/>
  <c r="BX306" i="3"/>
  <c r="BW306" i="3"/>
  <c r="BV306" i="3"/>
  <c r="BU306" i="3"/>
  <c r="BT306" i="3"/>
  <c r="BS306" i="3"/>
  <c r="BR306" i="3"/>
  <c r="BQ306" i="3"/>
  <c r="BP306" i="3"/>
  <c r="BO306" i="3"/>
  <c r="BN306" i="3"/>
  <c r="DU305" i="3"/>
  <c r="DT305" i="3"/>
  <c r="DS305" i="3"/>
  <c r="DR305" i="3"/>
  <c r="DQ305" i="3"/>
  <c r="DP305" i="3"/>
  <c r="DO305" i="3"/>
  <c r="DN305" i="3"/>
  <c r="DM305" i="3"/>
  <c r="DL305" i="3"/>
  <c r="DK305" i="3"/>
  <c r="DJ305" i="3"/>
  <c r="DI305" i="3"/>
  <c r="DH305" i="3"/>
  <c r="DG305" i="3"/>
  <c r="DF305" i="3"/>
  <c r="DE305" i="3"/>
  <c r="DD305" i="3"/>
  <c r="DC305" i="3"/>
  <c r="DB305" i="3"/>
  <c r="DA305" i="3"/>
  <c r="CZ305" i="3"/>
  <c r="CY305" i="3"/>
  <c r="CX305" i="3"/>
  <c r="CW305" i="3"/>
  <c r="CV305" i="3"/>
  <c r="CU305" i="3"/>
  <c r="CT305" i="3"/>
  <c r="CS305" i="3"/>
  <c r="CR305" i="3"/>
  <c r="CQ305" i="3"/>
  <c r="CP305" i="3"/>
  <c r="CO305" i="3"/>
  <c r="CN305" i="3"/>
  <c r="CM305" i="3"/>
  <c r="CL305" i="3"/>
  <c r="CK305" i="3"/>
  <c r="CJ305" i="3"/>
  <c r="CI305" i="3"/>
  <c r="CH305" i="3"/>
  <c r="CG305" i="3"/>
  <c r="CF305" i="3"/>
  <c r="CE305" i="3"/>
  <c r="CD305" i="3"/>
  <c r="CC305" i="3"/>
  <c r="CB305" i="3"/>
  <c r="CA305" i="3"/>
  <c r="BZ305" i="3"/>
  <c r="BY305" i="3"/>
  <c r="BX305" i="3"/>
  <c r="BW305" i="3"/>
  <c r="BV305" i="3"/>
  <c r="BU305" i="3"/>
  <c r="BT305" i="3"/>
  <c r="BS305" i="3"/>
  <c r="BR305" i="3"/>
  <c r="BQ305" i="3"/>
  <c r="BP305" i="3"/>
  <c r="BO305" i="3"/>
  <c r="BN305" i="3"/>
  <c r="E305" i="3"/>
  <c r="DU304" i="3"/>
  <c r="DT304" i="3"/>
  <c r="DS304" i="3"/>
  <c r="DR304" i="3"/>
  <c r="DQ304" i="3"/>
  <c r="DP304" i="3"/>
  <c r="DO304" i="3"/>
  <c r="DN304" i="3"/>
  <c r="DM304" i="3"/>
  <c r="DL304" i="3"/>
  <c r="DK304" i="3"/>
  <c r="DJ304" i="3"/>
  <c r="DI304" i="3"/>
  <c r="DH304" i="3"/>
  <c r="DG304" i="3"/>
  <c r="DF304" i="3"/>
  <c r="DE304" i="3"/>
  <c r="DD304" i="3"/>
  <c r="DC304" i="3"/>
  <c r="DB304" i="3"/>
  <c r="DA304" i="3"/>
  <c r="CZ304" i="3"/>
  <c r="CY304" i="3"/>
  <c r="CX304" i="3"/>
  <c r="CW304" i="3"/>
  <c r="CV304" i="3"/>
  <c r="CU304" i="3"/>
  <c r="CT304" i="3"/>
  <c r="CS304" i="3"/>
  <c r="CR304" i="3"/>
  <c r="CQ304" i="3"/>
  <c r="CP304" i="3"/>
  <c r="CO304" i="3"/>
  <c r="CN304" i="3"/>
  <c r="CM304" i="3"/>
  <c r="CL304" i="3"/>
  <c r="CK304" i="3"/>
  <c r="CJ304" i="3"/>
  <c r="CI304" i="3"/>
  <c r="CH304" i="3"/>
  <c r="CG304" i="3"/>
  <c r="CF304" i="3"/>
  <c r="CE304" i="3"/>
  <c r="CD304" i="3"/>
  <c r="CC304" i="3"/>
  <c r="CB304" i="3"/>
  <c r="CA304" i="3"/>
  <c r="BZ304" i="3"/>
  <c r="BY304" i="3"/>
  <c r="BX304" i="3"/>
  <c r="BW304" i="3"/>
  <c r="BV304" i="3"/>
  <c r="BU304" i="3"/>
  <c r="BT304" i="3"/>
  <c r="BS304" i="3"/>
  <c r="BR304" i="3"/>
  <c r="BQ304" i="3"/>
  <c r="BP304" i="3"/>
  <c r="BO304" i="3"/>
  <c r="BN304" i="3"/>
  <c r="B304" i="3"/>
  <c r="A304" i="3"/>
  <c r="DU303" i="3"/>
  <c r="DT303" i="3"/>
  <c r="DS303" i="3"/>
  <c r="DR303" i="3"/>
  <c r="DQ303" i="3"/>
  <c r="DP303" i="3"/>
  <c r="DO303" i="3"/>
  <c r="DN303" i="3"/>
  <c r="DM303" i="3"/>
  <c r="DL303" i="3"/>
  <c r="DK303" i="3"/>
  <c r="DJ303" i="3"/>
  <c r="DI303" i="3"/>
  <c r="DH303" i="3"/>
  <c r="DG303" i="3"/>
  <c r="DF303" i="3"/>
  <c r="DE303" i="3"/>
  <c r="DD303" i="3"/>
  <c r="DC303" i="3"/>
  <c r="DB303" i="3"/>
  <c r="DA303" i="3"/>
  <c r="CZ303" i="3"/>
  <c r="CY303" i="3"/>
  <c r="CX303" i="3"/>
  <c r="CW303" i="3"/>
  <c r="CV303" i="3"/>
  <c r="CU303" i="3"/>
  <c r="CT303" i="3"/>
  <c r="CS303" i="3"/>
  <c r="CR303" i="3"/>
  <c r="CQ303" i="3"/>
  <c r="CP303" i="3"/>
  <c r="CO303" i="3"/>
  <c r="CN303" i="3"/>
  <c r="CM303" i="3"/>
  <c r="CL303" i="3"/>
  <c r="CK303" i="3"/>
  <c r="CJ303" i="3"/>
  <c r="CI303" i="3"/>
  <c r="CH303" i="3"/>
  <c r="CG303" i="3"/>
  <c r="CF303" i="3"/>
  <c r="CE303" i="3"/>
  <c r="CD303" i="3"/>
  <c r="CC303" i="3"/>
  <c r="CB303" i="3"/>
  <c r="CA303" i="3"/>
  <c r="BZ303" i="3"/>
  <c r="BY303" i="3"/>
  <c r="BX303" i="3"/>
  <c r="BW303" i="3"/>
  <c r="BV303" i="3"/>
  <c r="BU303" i="3"/>
  <c r="BT303" i="3"/>
  <c r="BS303" i="3"/>
  <c r="BR303" i="3"/>
  <c r="BQ303" i="3"/>
  <c r="BP303" i="3"/>
  <c r="BO303" i="3"/>
  <c r="BN303" i="3"/>
  <c r="E303" i="3"/>
  <c r="D303" i="3"/>
  <c r="DU302" i="3"/>
  <c r="DT302" i="3"/>
  <c r="DS302" i="3"/>
  <c r="DR302" i="3"/>
  <c r="DQ302" i="3"/>
  <c r="DP302" i="3"/>
  <c r="DO302" i="3"/>
  <c r="DN302" i="3"/>
  <c r="DM302" i="3"/>
  <c r="DL302" i="3"/>
  <c r="DK302" i="3"/>
  <c r="DJ302" i="3"/>
  <c r="DI302" i="3"/>
  <c r="DH302" i="3"/>
  <c r="DG302" i="3"/>
  <c r="DF302" i="3"/>
  <c r="DE302" i="3"/>
  <c r="DD302" i="3"/>
  <c r="DC302" i="3"/>
  <c r="DB302" i="3"/>
  <c r="DA302" i="3"/>
  <c r="CZ302" i="3"/>
  <c r="CY302" i="3"/>
  <c r="CX302" i="3"/>
  <c r="CW302" i="3"/>
  <c r="CV302" i="3"/>
  <c r="CU302" i="3"/>
  <c r="CT302" i="3"/>
  <c r="CS302" i="3"/>
  <c r="CR302" i="3"/>
  <c r="CQ302" i="3"/>
  <c r="CP302" i="3"/>
  <c r="CO302" i="3"/>
  <c r="CN302" i="3"/>
  <c r="CM302" i="3"/>
  <c r="CL302" i="3"/>
  <c r="CK302" i="3"/>
  <c r="CJ302" i="3"/>
  <c r="CI302" i="3"/>
  <c r="CH302" i="3"/>
  <c r="CG302" i="3"/>
  <c r="CF302" i="3"/>
  <c r="CE302" i="3"/>
  <c r="CD302" i="3"/>
  <c r="CC302" i="3"/>
  <c r="CB302" i="3"/>
  <c r="CA302" i="3"/>
  <c r="BZ302" i="3"/>
  <c r="BY302" i="3"/>
  <c r="BX302" i="3"/>
  <c r="BW302" i="3"/>
  <c r="BV302" i="3"/>
  <c r="BU302" i="3"/>
  <c r="BT302" i="3"/>
  <c r="BS302" i="3"/>
  <c r="BR302" i="3"/>
  <c r="BQ302" i="3"/>
  <c r="BP302" i="3"/>
  <c r="BO302" i="3"/>
  <c r="BN302" i="3"/>
  <c r="C302" i="3"/>
  <c r="B302" i="3"/>
  <c r="DU301" i="3"/>
  <c r="DT301" i="3"/>
  <c r="DS301" i="3"/>
  <c r="DR301" i="3"/>
  <c r="DQ301" i="3"/>
  <c r="DP301" i="3"/>
  <c r="DO301" i="3"/>
  <c r="DN301" i="3"/>
  <c r="DM301" i="3"/>
  <c r="DL301" i="3"/>
  <c r="DK301" i="3"/>
  <c r="DJ301" i="3"/>
  <c r="DI301" i="3"/>
  <c r="DH301" i="3"/>
  <c r="DG301" i="3"/>
  <c r="DF301" i="3"/>
  <c r="DE301" i="3"/>
  <c r="DD301" i="3"/>
  <c r="DC301" i="3"/>
  <c r="DB301" i="3"/>
  <c r="DA301" i="3"/>
  <c r="CZ301" i="3"/>
  <c r="CY301" i="3"/>
  <c r="CX301" i="3"/>
  <c r="CW301" i="3"/>
  <c r="CV301" i="3"/>
  <c r="CU301" i="3"/>
  <c r="CT301" i="3"/>
  <c r="CS301" i="3"/>
  <c r="CR301" i="3"/>
  <c r="CQ301" i="3"/>
  <c r="CP301" i="3"/>
  <c r="CO301" i="3"/>
  <c r="CN301" i="3"/>
  <c r="CM301" i="3"/>
  <c r="CL301" i="3"/>
  <c r="CK301" i="3"/>
  <c r="CJ301" i="3"/>
  <c r="CI301" i="3"/>
  <c r="CH301" i="3"/>
  <c r="CG301" i="3"/>
  <c r="CF301" i="3"/>
  <c r="CE301" i="3"/>
  <c r="CD301" i="3"/>
  <c r="CC301" i="3"/>
  <c r="CB301" i="3"/>
  <c r="CA301" i="3"/>
  <c r="BZ301" i="3"/>
  <c r="BY301" i="3"/>
  <c r="BX301" i="3"/>
  <c r="BW301" i="3"/>
  <c r="BV301" i="3"/>
  <c r="BU301" i="3"/>
  <c r="BT301" i="3"/>
  <c r="BS301" i="3"/>
  <c r="BR301" i="3"/>
  <c r="BQ301" i="3"/>
  <c r="BP301" i="3"/>
  <c r="BO301" i="3"/>
  <c r="BN301" i="3"/>
  <c r="E301" i="3"/>
  <c r="D301" i="3"/>
  <c r="C301" i="3"/>
  <c r="B301" i="3"/>
  <c r="DU300" i="3"/>
  <c r="DT300" i="3"/>
  <c r="DS300" i="3"/>
  <c r="DR300" i="3"/>
  <c r="DQ300" i="3"/>
  <c r="DP300" i="3"/>
  <c r="DO300" i="3"/>
  <c r="DN300" i="3"/>
  <c r="DM300" i="3"/>
  <c r="DL300" i="3"/>
  <c r="DK300" i="3"/>
  <c r="DJ300" i="3"/>
  <c r="DI300" i="3"/>
  <c r="DH300" i="3"/>
  <c r="DG300" i="3"/>
  <c r="DF300" i="3"/>
  <c r="DE300" i="3"/>
  <c r="DD300" i="3"/>
  <c r="DC300" i="3"/>
  <c r="DB300" i="3"/>
  <c r="DA300" i="3"/>
  <c r="CZ300" i="3"/>
  <c r="CY300" i="3"/>
  <c r="CX300" i="3"/>
  <c r="CW300" i="3"/>
  <c r="CV300" i="3"/>
  <c r="CU300" i="3"/>
  <c r="CT300" i="3"/>
  <c r="CS300" i="3"/>
  <c r="CR300" i="3"/>
  <c r="CQ300" i="3"/>
  <c r="CP300" i="3"/>
  <c r="CO300" i="3"/>
  <c r="CN300" i="3"/>
  <c r="CM300" i="3"/>
  <c r="CL300" i="3"/>
  <c r="CK300" i="3"/>
  <c r="CJ300" i="3"/>
  <c r="CI300" i="3"/>
  <c r="CH300" i="3"/>
  <c r="CG300" i="3"/>
  <c r="CF300" i="3"/>
  <c r="CE300" i="3"/>
  <c r="CD300" i="3"/>
  <c r="CC300" i="3"/>
  <c r="CB300" i="3"/>
  <c r="CA300" i="3"/>
  <c r="BZ300" i="3"/>
  <c r="BY300" i="3"/>
  <c r="BX300" i="3"/>
  <c r="BW300" i="3"/>
  <c r="BV300" i="3"/>
  <c r="BU300" i="3"/>
  <c r="BT300" i="3"/>
  <c r="BS300" i="3"/>
  <c r="BR300" i="3"/>
  <c r="BQ300" i="3"/>
  <c r="BP300" i="3"/>
  <c r="BO300" i="3"/>
  <c r="BN300" i="3"/>
  <c r="DU299" i="3"/>
  <c r="DT299" i="3"/>
  <c r="DS299" i="3"/>
  <c r="DR299" i="3"/>
  <c r="DQ299" i="3"/>
  <c r="DP299" i="3"/>
  <c r="DO299" i="3"/>
  <c r="DN299" i="3"/>
  <c r="DM299" i="3"/>
  <c r="DL299" i="3"/>
  <c r="DK299" i="3"/>
  <c r="DJ299" i="3"/>
  <c r="DI299" i="3"/>
  <c r="DH299" i="3"/>
  <c r="DG299" i="3"/>
  <c r="DF299" i="3"/>
  <c r="DE299" i="3"/>
  <c r="DD299" i="3"/>
  <c r="DC299" i="3"/>
  <c r="DB299" i="3"/>
  <c r="DA299" i="3"/>
  <c r="CZ299" i="3"/>
  <c r="CY299" i="3"/>
  <c r="CX299" i="3"/>
  <c r="CW299" i="3"/>
  <c r="CV299" i="3"/>
  <c r="CU299" i="3"/>
  <c r="CT299" i="3"/>
  <c r="CS299" i="3"/>
  <c r="CR299" i="3"/>
  <c r="CQ299" i="3"/>
  <c r="CP299" i="3"/>
  <c r="CO299" i="3"/>
  <c r="CN299" i="3"/>
  <c r="CM299" i="3"/>
  <c r="CL299" i="3"/>
  <c r="CK299" i="3"/>
  <c r="CJ299" i="3"/>
  <c r="CI299" i="3"/>
  <c r="CH299" i="3"/>
  <c r="CG299" i="3"/>
  <c r="CF299" i="3"/>
  <c r="CE299" i="3"/>
  <c r="CD299" i="3"/>
  <c r="CC299" i="3"/>
  <c r="CB299" i="3"/>
  <c r="CA299" i="3"/>
  <c r="BZ299" i="3"/>
  <c r="BY299" i="3"/>
  <c r="BX299" i="3"/>
  <c r="BW299" i="3"/>
  <c r="BV299" i="3"/>
  <c r="BU299" i="3"/>
  <c r="BT299" i="3"/>
  <c r="BS299" i="3"/>
  <c r="BR299" i="3"/>
  <c r="BQ299" i="3"/>
  <c r="BP299" i="3"/>
  <c r="BO299" i="3"/>
  <c r="BN299" i="3"/>
  <c r="A299" i="3"/>
  <c r="DU298" i="3"/>
  <c r="DT298" i="3"/>
  <c r="DS298" i="3"/>
  <c r="DR298" i="3"/>
  <c r="DQ298" i="3"/>
  <c r="DP298" i="3"/>
  <c r="DO298" i="3"/>
  <c r="DN298" i="3"/>
  <c r="DM298" i="3"/>
  <c r="DL298" i="3"/>
  <c r="DK298" i="3"/>
  <c r="DJ298" i="3"/>
  <c r="DI298" i="3"/>
  <c r="DH298" i="3"/>
  <c r="DG298" i="3"/>
  <c r="DF298" i="3"/>
  <c r="DE298" i="3"/>
  <c r="DD298" i="3"/>
  <c r="DC298" i="3"/>
  <c r="DB298" i="3"/>
  <c r="DA298" i="3"/>
  <c r="CZ298" i="3"/>
  <c r="CY298" i="3"/>
  <c r="CX298" i="3"/>
  <c r="CW298" i="3"/>
  <c r="CV298" i="3"/>
  <c r="CU298" i="3"/>
  <c r="CT298" i="3"/>
  <c r="CS298" i="3"/>
  <c r="CR298" i="3"/>
  <c r="CQ298" i="3"/>
  <c r="CP298" i="3"/>
  <c r="CO298" i="3"/>
  <c r="CN298" i="3"/>
  <c r="CM298" i="3"/>
  <c r="CL298" i="3"/>
  <c r="CK298" i="3"/>
  <c r="CJ298" i="3"/>
  <c r="CI298" i="3"/>
  <c r="CH298" i="3"/>
  <c r="CG298" i="3"/>
  <c r="CF298" i="3"/>
  <c r="CE298" i="3"/>
  <c r="CD298" i="3"/>
  <c r="CC298" i="3"/>
  <c r="CB298" i="3"/>
  <c r="CA298" i="3"/>
  <c r="BZ298" i="3"/>
  <c r="BY298" i="3"/>
  <c r="BX298" i="3"/>
  <c r="BW298" i="3"/>
  <c r="BV298" i="3"/>
  <c r="BU298" i="3"/>
  <c r="BT298" i="3"/>
  <c r="BS298" i="3"/>
  <c r="BR298" i="3"/>
  <c r="BQ298" i="3"/>
  <c r="BP298" i="3"/>
  <c r="BO298" i="3"/>
  <c r="BN298" i="3"/>
  <c r="E298" i="3"/>
  <c r="DU297" i="3"/>
  <c r="DT297" i="3"/>
  <c r="DS297" i="3"/>
  <c r="DR297" i="3"/>
  <c r="DQ297" i="3"/>
  <c r="DP297" i="3"/>
  <c r="DO297" i="3"/>
  <c r="DN297" i="3"/>
  <c r="DM297" i="3"/>
  <c r="DL297" i="3"/>
  <c r="DK297" i="3"/>
  <c r="DJ297" i="3"/>
  <c r="DI297" i="3"/>
  <c r="DH297" i="3"/>
  <c r="DG297" i="3"/>
  <c r="DF297" i="3"/>
  <c r="DE297" i="3"/>
  <c r="DD297" i="3"/>
  <c r="DC297" i="3"/>
  <c r="DB297" i="3"/>
  <c r="DA297" i="3"/>
  <c r="CZ297" i="3"/>
  <c r="CY297" i="3"/>
  <c r="CX297" i="3"/>
  <c r="CW297" i="3"/>
  <c r="CV297" i="3"/>
  <c r="CU297" i="3"/>
  <c r="CT297" i="3"/>
  <c r="CS297" i="3"/>
  <c r="CR297" i="3"/>
  <c r="CQ297" i="3"/>
  <c r="CP297" i="3"/>
  <c r="CO297" i="3"/>
  <c r="CN297" i="3"/>
  <c r="CM297" i="3"/>
  <c r="CL297" i="3"/>
  <c r="CK297" i="3"/>
  <c r="CJ297" i="3"/>
  <c r="CI297" i="3"/>
  <c r="CH297" i="3"/>
  <c r="CG297" i="3"/>
  <c r="CF297" i="3"/>
  <c r="CE297" i="3"/>
  <c r="CD297" i="3"/>
  <c r="CC297" i="3"/>
  <c r="CB297" i="3"/>
  <c r="CA297" i="3"/>
  <c r="BZ297" i="3"/>
  <c r="BY297" i="3"/>
  <c r="BX297" i="3"/>
  <c r="BW297" i="3"/>
  <c r="BV297" i="3"/>
  <c r="BU297" i="3"/>
  <c r="BT297" i="3"/>
  <c r="BS297" i="3"/>
  <c r="BR297" i="3"/>
  <c r="BQ297" i="3"/>
  <c r="BP297" i="3"/>
  <c r="BO297" i="3"/>
  <c r="BN297" i="3"/>
  <c r="B297" i="3"/>
  <c r="DU296" i="3"/>
  <c r="DT296" i="3"/>
  <c r="DS296" i="3"/>
  <c r="DR296" i="3"/>
  <c r="DQ296" i="3"/>
  <c r="DP296" i="3"/>
  <c r="DO296" i="3"/>
  <c r="DN296" i="3"/>
  <c r="DM296" i="3"/>
  <c r="DL296" i="3"/>
  <c r="DK296" i="3"/>
  <c r="DJ296" i="3"/>
  <c r="DI296" i="3"/>
  <c r="DH296" i="3"/>
  <c r="DG296" i="3"/>
  <c r="DF296" i="3"/>
  <c r="DE296" i="3"/>
  <c r="DD296" i="3"/>
  <c r="DC296" i="3"/>
  <c r="DB296" i="3"/>
  <c r="DA296" i="3"/>
  <c r="CZ296" i="3"/>
  <c r="CY296" i="3"/>
  <c r="CX296" i="3"/>
  <c r="CW296" i="3"/>
  <c r="CV296" i="3"/>
  <c r="CU296" i="3"/>
  <c r="CT296" i="3"/>
  <c r="CS296" i="3"/>
  <c r="CR296" i="3"/>
  <c r="CQ296" i="3"/>
  <c r="CP296" i="3"/>
  <c r="CO296" i="3"/>
  <c r="CN296" i="3"/>
  <c r="CM296" i="3"/>
  <c r="CL296" i="3"/>
  <c r="CK296" i="3"/>
  <c r="CJ296" i="3"/>
  <c r="CI296" i="3"/>
  <c r="CH296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DU295" i="3"/>
  <c r="DT295" i="3"/>
  <c r="DS295" i="3"/>
  <c r="DR295" i="3"/>
  <c r="DQ295" i="3"/>
  <c r="DP295" i="3"/>
  <c r="DO295" i="3"/>
  <c r="DN295" i="3"/>
  <c r="DM295" i="3"/>
  <c r="DL295" i="3"/>
  <c r="DK295" i="3"/>
  <c r="DJ295" i="3"/>
  <c r="DI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E295" i="3"/>
  <c r="A295" i="3"/>
  <c r="DU294" i="3"/>
  <c r="DT294" i="3"/>
  <c r="DS294" i="3"/>
  <c r="DR294" i="3"/>
  <c r="DQ294" i="3"/>
  <c r="DP294" i="3"/>
  <c r="DO294" i="3"/>
  <c r="DN294" i="3"/>
  <c r="DM294" i="3"/>
  <c r="DL294" i="3"/>
  <c r="DK294" i="3"/>
  <c r="DJ294" i="3"/>
  <c r="DI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E294" i="3"/>
  <c r="D294" i="3"/>
  <c r="C294" i="3"/>
  <c r="DU293" i="3"/>
  <c r="DT293" i="3"/>
  <c r="DS293" i="3"/>
  <c r="DR293" i="3"/>
  <c r="DQ293" i="3"/>
  <c r="DP293" i="3"/>
  <c r="DO293" i="3"/>
  <c r="DN293" i="3"/>
  <c r="DM293" i="3"/>
  <c r="DL293" i="3"/>
  <c r="DK293" i="3"/>
  <c r="DJ293" i="3"/>
  <c r="DI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E293" i="3"/>
  <c r="D293" i="3"/>
  <c r="C293" i="3"/>
  <c r="DU292" i="3"/>
  <c r="DT292" i="3"/>
  <c r="DS292" i="3"/>
  <c r="DR292" i="3"/>
  <c r="DQ292" i="3"/>
  <c r="DP292" i="3"/>
  <c r="DO292" i="3"/>
  <c r="DN292" i="3"/>
  <c r="DM292" i="3"/>
  <c r="DL292" i="3"/>
  <c r="DK292" i="3"/>
  <c r="DJ292" i="3"/>
  <c r="DI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DU291" i="3"/>
  <c r="DT291" i="3"/>
  <c r="DS291" i="3"/>
  <c r="DR291" i="3"/>
  <c r="DQ291" i="3"/>
  <c r="DP291" i="3"/>
  <c r="DO291" i="3"/>
  <c r="DN291" i="3"/>
  <c r="DM291" i="3"/>
  <c r="DL291" i="3"/>
  <c r="DK291" i="3"/>
  <c r="DJ291" i="3"/>
  <c r="DI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D291" i="3"/>
  <c r="C291" i="3"/>
  <c r="DU290" i="3"/>
  <c r="DT290" i="3"/>
  <c r="DS290" i="3"/>
  <c r="DR290" i="3"/>
  <c r="DQ290" i="3"/>
  <c r="DP290" i="3"/>
  <c r="DO290" i="3"/>
  <c r="DN290" i="3"/>
  <c r="DM290" i="3"/>
  <c r="DL290" i="3"/>
  <c r="DK290" i="3"/>
  <c r="DJ290" i="3"/>
  <c r="DI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E290" i="3"/>
  <c r="D290" i="3"/>
  <c r="DU289" i="3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C289" i="3"/>
  <c r="B289" i="3"/>
  <c r="A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B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D284" i="3"/>
  <c r="C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C282" i="3"/>
  <c r="B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A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E278" i="3"/>
  <c r="D278" i="3"/>
  <c r="C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E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B274" i="3"/>
  <c r="A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E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E271" i="3"/>
  <c r="D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C270" i="3"/>
  <c r="B270" i="3"/>
  <c r="A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E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B264" i="3"/>
  <c r="A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E262" i="3"/>
  <c r="B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257" i="3"/>
  <c r="A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C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E252" i="3"/>
  <c r="D252" i="3"/>
  <c r="C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E251" i="3"/>
  <c r="D251" i="3"/>
  <c r="A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E250" i="3"/>
  <c r="D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E247" i="3"/>
  <c r="A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E246" i="3"/>
  <c r="A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C244" i="3"/>
  <c r="B244" i="3"/>
  <c r="A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A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C241" i="3"/>
  <c r="B241" i="3"/>
  <c r="A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C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E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A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235" i="3"/>
  <c r="A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E234" i="3"/>
  <c r="D234" i="3"/>
  <c r="C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E233" i="3"/>
  <c r="D233" i="3"/>
  <c r="C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E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C228" i="3"/>
  <c r="B228" i="3"/>
  <c r="A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B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E226" i="3"/>
  <c r="D226" i="3"/>
  <c r="C226" i="3"/>
  <c r="B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E225" i="3"/>
  <c r="D225" i="3"/>
  <c r="C225" i="3"/>
  <c r="B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E224" i="3"/>
  <c r="D224" i="3"/>
  <c r="C224" i="3"/>
  <c r="B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E223" i="3"/>
  <c r="D223" i="3"/>
  <c r="C223" i="3"/>
  <c r="B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E222" i="3"/>
  <c r="D222" i="3"/>
  <c r="C222" i="3"/>
  <c r="B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E221" i="3"/>
  <c r="D221" i="3"/>
  <c r="C221" i="3"/>
  <c r="B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E220" i="3"/>
  <c r="D220" i="3"/>
  <c r="C220" i="3"/>
  <c r="B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E219" i="3"/>
  <c r="D219" i="3"/>
  <c r="C219" i="3"/>
  <c r="B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E218" i="3"/>
  <c r="D218" i="3"/>
  <c r="C218" i="3"/>
  <c r="B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E217" i="3"/>
  <c r="D217" i="3"/>
  <c r="C217" i="3"/>
  <c r="B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E216" i="3"/>
  <c r="D216" i="3"/>
  <c r="C216" i="3"/>
  <c r="B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E215" i="3"/>
  <c r="D215" i="3"/>
  <c r="C215" i="3"/>
  <c r="B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E214" i="3"/>
  <c r="D214" i="3"/>
  <c r="C214" i="3"/>
  <c r="B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E213" i="3"/>
  <c r="D213" i="3"/>
  <c r="C213" i="3"/>
  <c r="B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E212" i="3"/>
  <c r="D212" i="3"/>
  <c r="C212" i="3"/>
  <c r="B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E211" i="3"/>
  <c r="D211" i="3"/>
  <c r="C211" i="3"/>
  <c r="B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E210" i="3"/>
  <c r="D210" i="3"/>
  <c r="C210" i="3"/>
  <c r="B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E209" i="3"/>
  <c r="D209" i="3"/>
  <c r="C209" i="3"/>
  <c r="B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E208" i="3"/>
  <c r="D208" i="3"/>
  <c r="C208" i="3"/>
  <c r="B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E207" i="3"/>
  <c r="D207" i="3"/>
  <c r="C207" i="3"/>
  <c r="B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E206" i="3"/>
  <c r="D206" i="3"/>
  <c r="C206" i="3"/>
  <c r="B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E205" i="3"/>
  <c r="D205" i="3"/>
  <c r="C205" i="3"/>
  <c r="B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E204" i="3"/>
  <c r="D204" i="3"/>
  <c r="C204" i="3"/>
  <c r="B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E203" i="3"/>
  <c r="D203" i="3"/>
  <c r="C203" i="3"/>
  <c r="B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E202" i="3"/>
  <c r="D202" i="3"/>
  <c r="C202" i="3"/>
  <c r="B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E201" i="3"/>
  <c r="D201" i="3"/>
  <c r="C201" i="3"/>
  <c r="B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E200" i="3"/>
  <c r="D200" i="3"/>
  <c r="C200" i="3"/>
  <c r="B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E199" i="3"/>
  <c r="D199" i="3"/>
  <c r="C199" i="3"/>
  <c r="B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E198" i="3"/>
  <c r="D198" i="3"/>
  <c r="C198" i="3"/>
  <c r="B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E197" i="3"/>
  <c r="D197" i="3"/>
  <c r="C197" i="3"/>
  <c r="B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E196" i="3"/>
  <c r="D196" i="3"/>
  <c r="C196" i="3"/>
  <c r="B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E195" i="3"/>
  <c r="D195" i="3"/>
  <c r="C195" i="3"/>
  <c r="B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E194" i="3"/>
  <c r="D194" i="3"/>
  <c r="C194" i="3"/>
  <c r="B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E193" i="3"/>
  <c r="D193" i="3"/>
  <c r="C193" i="3"/>
  <c r="B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E192" i="3"/>
  <c r="D192" i="3"/>
  <c r="C192" i="3"/>
  <c r="B192" i="3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E191" i="3"/>
  <c r="D191" i="3"/>
  <c r="C191" i="3"/>
  <c r="B191" i="3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E190" i="3"/>
  <c r="D190" i="3"/>
  <c r="C190" i="3"/>
  <c r="B190" i="3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E189" i="3"/>
  <c r="D189" i="3"/>
  <c r="C189" i="3"/>
  <c r="B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E188" i="3"/>
  <c r="D188" i="3"/>
  <c r="C188" i="3"/>
  <c r="B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E187" i="3"/>
  <c r="D187" i="3"/>
  <c r="C187" i="3"/>
  <c r="B187" i="3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A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184" i="3"/>
  <c r="A184" i="3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A183" i="3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182" i="3"/>
  <c r="A182" i="3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C181" i="3"/>
  <c r="B181" i="3"/>
  <c r="A181" i="3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180" i="3"/>
  <c r="A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A179" i="3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A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E169" i="3"/>
  <c r="E364" i="3" s="1"/>
  <c r="D169" i="3"/>
  <c r="C169" i="3"/>
  <c r="B169" i="3"/>
  <c r="A169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E168" i="3"/>
  <c r="E363" i="3" s="1"/>
  <c r="D168" i="3"/>
  <c r="D363" i="3" s="1"/>
  <c r="C168" i="3"/>
  <c r="C363" i="3" s="1"/>
  <c r="B168" i="3"/>
  <c r="B363" i="3" s="1"/>
  <c r="A168" i="3"/>
  <c r="A363" i="3" s="1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E167" i="3"/>
  <c r="D167" i="3"/>
  <c r="C167" i="3"/>
  <c r="B167" i="3"/>
  <c r="A167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E166" i="3"/>
  <c r="D166" i="3"/>
  <c r="C166" i="3"/>
  <c r="B166" i="3"/>
  <c r="B361" i="3" s="1"/>
  <c r="A166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E165" i="3"/>
  <c r="E360" i="3" s="1"/>
  <c r="D165" i="3"/>
  <c r="C165" i="3"/>
  <c r="B165" i="3"/>
  <c r="A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E164" i="3"/>
  <c r="E359" i="3" s="1"/>
  <c r="D164" i="3"/>
  <c r="D359" i="3" s="1"/>
  <c r="C164" i="3"/>
  <c r="C359" i="3" s="1"/>
  <c r="B164" i="3"/>
  <c r="A164" i="3"/>
  <c r="A359" i="3" s="1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E163" i="3"/>
  <c r="D163" i="3"/>
  <c r="C163" i="3"/>
  <c r="B163" i="3"/>
  <c r="A163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E162" i="3"/>
  <c r="E357" i="3" s="1"/>
  <c r="D162" i="3"/>
  <c r="C162" i="3"/>
  <c r="B162" i="3"/>
  <c r="A162" i="3"/>
  <c r="A162" i="2" s="1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E161" i="3"/>
  <c r="E356" i="3" s="1"/>
  <c r="D161" i="3"/>
  <c r="D356" i="3" s="1"/>
  <c r="C161" i="3"/>
  <c r="C356" i="3" s="1"/>
  <c r="B161" i="3"/>
  <c r="B356" i="3" s="1"/>
  <c r="A161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E160" i="3"/>
  <c r="E355" i="3" s="1"/>
  <c r="D160" i="3"/>
  <c r="D355" i="3" s="1"/>
  <c r="C160" i="3"/>
  <c r="C355" i="3" s="1"/>
  <c r="B160" i="3"/>
  <c r="B355" i="3" s="1"/>
  <c r="A160" i="3"/>
  <c r="A355" i="3" s="1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E159" i="3"/>
  <c r="D159" i="3"/>
  <c r="D354" i="3" s="1"/>
  <c r="C159" i="3"/>
  <c r="C354" i="3" s="1"/>
  <c r="B159" i="3"/>
  <c r="A159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E158" i="3"/>
  <c r="D158" i="3"/>
  <c r="C158" i="3"/>
  <c r="B158" i="3"/>
  <c r="B353" i="3" s="1"/>
  <c r="A158" i="3"/>
  <c r="A353" i="3" s="1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E157" i="3"/>
  <c r="D157" i="3"/>
  <c r="C157" i="3"/>
  <c r="B157" i="3"/>
  <c r="A157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E156" i="3"/>
  <c r="E351" i="3" s="1"/>
  <c r="D156" i="3"/>
  <c r="D351" i="3" s="1"/>
  <c r="C156" i="3"/>
  <c r="C351" i="3" s="1"/>
  <c r="B156" i="3"/>
  <c r="A156" i="3"/>
  <c r="A351" i="3" s="1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E155" i="3"/>
  <c r="E350" i="3" s="1"/>
  <c r="D155" i="3"/>
  <c r="D350" i="3" s="1"/>
  <c r="C155" i="3"/>
  <c r="B155" i="3"/>
  <c r="A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E154" i="3"/>
  <c r="E349" i="3" s="1"/>
  <c r="D154" i="3"/>
  <c r="D349" i="3" s="1"/>
  <c r="C154" i="3"/>
  <c r="C349" i="3" s="1"/>
  <c r="B154" i="3"/>
  <c r="A154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E153" i="3"/>
  <c r="D153" i="3"/>
  <c r="C153" i="3"/>
  <c r="B153" i="3"/>
  <c r="A153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E152" i="3"/>
  <c r="E347" i="3" s="1"/>
  <c r="D152" i="3"/>
  <c r="D347" i="3" s="1"/>
  <c r="C152" i="3"/>
  <c r="B152" i="3"/>
  <c r="A152" i="3"/>
  <c r="A347" i="3" s="1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E151" i="3"/>
  <c r="E346" i="3" s="1"/>
  <c r="D151" i="3"/>
  <c r="D346" i="3" s="1"/>
  <c r="C151" i="3"/>
  <c r="C346" i="3" s="1"/>
  <c r="B151" i="3"/>
  <c r="B346" i="3" s="1"/>
  <c r="A151" i="3"/>
  <c r="A346" i="3" s="1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E150" i="3"/>
  <c r="E345" i="3" s="1"/>
  <c r="D150" i="3"/>
  <c r="D345" i="3" s="1"/>
  <c r="C150" i="3"/>
  <c r="B150" i="3"/>
  <c r="A150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E149" i="3"/>
  <c r="D149" i="3"/>
  <c r="D344" i="3" s="1"/>
  <c r="C149" i="3"/>
  <c r="C344" i="3" s="1"/>
  <c r="B149" i="3"/>
  <c r="A149" i="3"/>
  <c r="A344" i="3" s="1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E148" i="3"/>
  <c r="B148" i="3"/>
  <c r="A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E147" i="3"/>
  <c r="E343" i="3" s="1"/>
  <c r="D147" i="3"/>
  <c r="C147" i="3"/>
  <c r="B147" i="3"/>
  <c r="A147" i="3"/>
  <c r="A343" i="3" s="1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E146" i="3"/>
  <c r="D146" i="3"/>
  <c r="C146" i="3"/>
  <c r="B146" i="3"/>
  <c r="B342" i="3" s="1"/>
  <c r="A146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E145" i="3"/>
  <c r="E341" i="3" s="1"/>
  <c r="D145" i="3"/>
  <c r="D341" i="3" s="1"/>
  <c r="C145" i="3"/>
  <c r="B145" i="3"/>
  <c r="B341" i="3" s="1"/>
  <c r="A145" i="3"/>
  <c r="A341" i="3" s="1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E144" i="3"/>
  <c r="E340" i="3" s="1"/>
  <c r="D144" i="3"/>
  <c r="D340" i="3" s="1"/>
  <c r="C144" i="3"/>
  <c r="B144" i="3"/>
  <c r="B340" i="3" s="1"/>
  <c r="A144" i="3"/>
  <c r="A340" i="3" s="1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E143" i="3"/>
  <c r="E339" i="3" s="1"/>
  <c r="D143" i="3"/>
  <c r="D339" i="3" s="1"/>
  <c r="C143" i="3"/>
  <c r="C339" i="3" s="1"/>
  <c r="B143" i="3"/>
  <c r="A143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E142" i="3"/>
  <c r="D142" i="3"/>
  <c r="C142" i="3"/>
  <c r="B142" i="3"/>
  <c r="B338" i="3" s="1"/>
  <c r="A142" i="3"/>
  <c r="A338" i="3" s="1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E141" i="3"/>
  <c r="D141" i="3"/>
  <c r="C141" i="3"/>
  <c r="C337" i="3" s="1"/>
  <c r="B141" i="3"/>
  <c r="B337" i="3" s="1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E140" i="3"/>
  <c r="D140" i="3"/>
  <c r="C140" i="3"/>
  <c r="B140" i="3"/>
  <c r="B336" i="3" s="1"/>
  <c r="A140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E139" i="3"/>
  <c r="E335" i="3" s="1"/>
  <c r="D139" i="3"/>
  <c r="D335" i="3" s="1"/>
  <c r="C139" i="3"/>
  <c r="C335" i="3" s="1"/>
  <c r="B139" i="3"/>
  <c r="B335" i="3" s="1"/>
  <c r="A139" i="3"/>
  <c r="A335" i="3" s="1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E138" i="3"/>
  <c r="D138" i="3"/>
  <c r="C138" i="3"/>
  <c r="B138" i="3"/>
  <c r="B334" i="3" s="1"/>
  <c r="A138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E137" i="3"/>
  <c r="D137" i="3"/>
  <c r="C137" i="3"/>
  <c r="B137" i="3"/>
  <c r="B333" i="3" s="1"/>
  <c r="A137" i="3"/>
  <c r="A333" i="3" s="1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E136" i="3"/>
  <c r="E332" i="3" s="1"/>
  <c r="D136" i="3"/>
  <c r="D332" i="3" s="1"/>
  <c r="C136" i="3"/>
  <c r="C332" i="3" s="1"/>
  <c r="B136" i="3"/>
  <c r="A136" i="3"/>
  <c r="A332" i="3" s="1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E135" i="3"/>
  <c r="E331" i="3" s="1"/>
  <c r="D135" i="3"/>
  <c r="D331" i="3" s="1"/>
  <c r="C135" i="3"/>
  <c r="C331" i="3" s="1"/>
  <c r="B135" i="3"/>
  <c r="B331" i="3" s="1"/>
  <c r="A135" i="3"/>
  <c r="A331" i="3" s="1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E134" i="3"/>
  <c r="D134" i="3"/>
  <c r="D330" i="3" s="1"/>
  <c r="C134" i="3"/>
  <c r="C330" i="3" s="1"/>
  <c r="B134" i="3"/>
  <c r="B330" i="3" s="1"/>
  <c r="A134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E133" i="3"/>
  <c r="E329" i="3" s="1"/>
  <c r="D133" i="3"/>
  <c r="D329" i="3" s="1"/>
  <c r="C133" i="3"/>
  <c r="C133" i="2" s="1"/>
  <c r="B133" i="3"/>
  <c r="B329" i="3" s="1"/>
  <c r="A133" i="3"/>
  <c r="A133" i="2" s="1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E132" i="3"/>
  <c r="D132" i="3"/>
  <c r="C132" i="3"/>
  <c r="C328" i="3" s="1"/>
  <c r="B132" i="3"/>
  <c r="B328" i="3" s="1"/>
  <c r="A132" i="3"/>
  <c r="A328" i="3" s="1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E131" i="3"/>
  <c r="E327" i="3" s="1"/>
  <c r="D131" i="3"/>
  <c r="D327" i="3" s="1"/>
  <c r="C131" i="3"/>
  <c r="C327" i="3" s="1"/>
  <c r="B131" i="3"/>
  <c r="B327" i="3" s="1"/>
  <c r="A131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E130" i="3"/>
  <c r="D130" i="3"/>
  <c r="C130" i="3"/>
  <c r="C326" i="3" s="1"/>
  <c r="B130" i="3"/>
  <c r="B326" i="3" s="1"/>
  <c r="A130" i="3"/>
  <c r="A326" i="3" s="1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E325" i="3" s="1"/>
  <c r="D129" i="3"/>
  <c r="C129" i="3"/>
  <c r="B129" i="3"/>
  <c r="B325" i="3" s="1"/>
  <c r="A129" i="3"/>
  <c r="A325" i="3" s="1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D128" i="3"/>
  <c r="D324" i="3" s="1"/>
  <c r="C128" i="3"/>
  <c r="C324" i="3" s="1"/>
  <c r="B128" i="3"/>
  <c r="B324" i="3" s="1"/>
  <c r="A128" i="3"/>
  <c r="A324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D127" i="3"/>
  <c r="D323" i="3" s="1"/>
  <c r="C127" i="3"/>
  <c r="C323" i="3" s="1"/>
  <c r="B127" i="3"/>
  <c r="A127" i="3"/>
  <c r="A323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E126" i="2" s="1"/>
  <c r="B126" i="3"/>
  <c r="A126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322" i="3" s="1"/>
  <c r="D125" i="3"/>
  <c r="D322" i="3" s="1"/>
  <c r="C125" i="3"/>
  <c r="B125" i="3"/>
  <c r="A125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321" i="3" s="1"/>
  <c r="D124" i="3"/>
  <c r="C124" i="3"/>
  <c r="C124" i="2" s="1"/>
  <c r="B124" i="3"/>
  <c r="A124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D123" i="3"/>
  <c r="D320" i="3" s="1"/>
  <c r="C123" i="3"/>
  <c r="C320" i="3" s="1"/>
  <c r="B123" i="3"/>
  <c r="B320" i="3" s="1"/>
  <c r="A123" i="3"/>
  <c r="A320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E319" i="3" s="1"/>
  <c r="D122" i="3"/>
  <c r="D319" i="3" s="1"/>
  <c r="C122" i="3"/>
  <c r="C319" i="3" s="1"/>
  <c r="B122" i="3"/>
  <c r="B319" i="3" s="1"/>
  <c r="A122" i="3"/>
  <c r="A319" i="3" s="1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E318" i="3" s="1"/>
  <c r="D121" i="3"/>
  <c r="D318" i="3" s="1"/>
  <c r="C121" i="3"/>
  <c r="C318" i="3" s="1"/>
  <c r="B121" i="3"/>
  <c r="A121" i="3"/>
  <c r="A318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D120" i="3"/>
  <c r="C120" i="3"/>
  <c r="C317" i="3" s="1"/>
  <c r="B120" i="3"/>
  <c r="B317" i="3" s="1"/>
  <c r="A120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E316" i="3" s="1"/>
  <c r="D119" i="3"/>
  <c r="D316" i="3" s="1"/>
  <c r="C119" i="3"/>
  <c r="C316" i="3" s="1"/>
  <c r="B119" i="3"/>
  <c r="B316" i="3" s="1"/>
  <c r="A119" i="3"/>
  <c r="A316" i="3" s="1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D118" i="3"/>
  <c r="C118" i="3"/>
  <c r="B118" i="3"/>
  <c r="A118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D117" i="3"/>
  <c r="D314" i="3" s="1"/>
  <c r="C117" i="3"/>
  <c r="C314" i="3" s="1"/>
  <c r="B117" i="3"/>
  <c r="B314" i="3" s="1"/>
  <c r="A117" i="3"/>
  <c r="A314" i="3" s="1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313" i="3" s="1"/>
  <c r="D116" i="3"/>
  <c r="C116" i="3"/>
  <c r="B116" i="3"/>
  <c r="B313" i="3" s="1"/>
  <c r="A116" i="3"/>
  <c r="A313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D115" i="3"/>
  <c r="C115" i="3"/>
  <c r="C312" i="3" s="1"/>
  <c r="B115" i="3"/>
  <c r="B312" i="3" s="1"/>
  <c r="A115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311" i="3" s="1"/>
  <c r="D114" i="3"/>
  <c r="C114" i="3"/>
  <c r="B114" i="3"/>
  <c r="A114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D113" i="3"/>
  <c r="D310" i="3" s="1"/>
  <c r="C113" i="3"/>
  <c r="C310" i="3" s="1"/>
  <c r="B113" i="3"/>
  <c r="A113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E309" i="3" s="1"/>
  <c r="D112" i="3"/>
  <c r="D309" i="3" s="1"/>
  <c r="C112" i="3"/>
  <c r="C309" i="3" s="1"/>
  <c r="B112" i="3"/>
  <c r="B309" i="3" s="1"/>
  <c r="A112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D111" i="3"/>
  <c r="D308" i="3" s="1"/>
  <c r="C111" i="3"/>
  <c r="C308" i="3" s="1"/>
  <c r="B111" i="3"/>
  <c r="B308" i="3" s="1"/>
  <c r="A111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D110" i="3"/>
  <c r="C110" i="3"/>
  <c r="B110" i="3"/>
  <c r="B307" i="3" s="1"/>
  <c r="A110" i="3"/>
  <c r="A110" i="2" s="1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E306" i="3" s="1"/>
  <c r="D109" i="3"/>
  <c r="D306" i="3" s="1"/>
  <c r="C109" i="3"/>
  <c r="C306" i="3" s="1"/>
  <c r="B109" i="3"/>
  <c r="B306" i="3" s="1"/>
  <c r="A109" i="3"/>
  <c r="A306" i="3" s="1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D108" i="3"/>
  <c r="D305" i="3" s="1"/>
  <c r="C108" i="3"/>
  <c r="C305" i="3" s="1"/>
  <c r="B108" i="3"/>
  <c r="B305" i="3" s="1"/>
  <c r="A108" i="3"/>
  <c r="A305" i="3" s="1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304" i="3" s="1"/>
  <c r="D107" i="3"/>
  <c r="D304" i="3" s="1"/>
  <c r="C107" i="3"/>
  <c r="C304" i="3" s="1"/>
  <c r="B107" i="3"/>
  <c r="A107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E106" i="2" s="1"/>
  <c r="D106" i="3"/>
  <c r="C106" i="3"/>
  <c r="C303" i="3" s="1"/>
  <c r="B106" i="3"/>
  <c r="B303" i="3" s="1"/>
  <c r="A106" i="3"/>
  <c r="A303" i="3" s="1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E302" i="3" s="1"/>
  <c r="D105" i="3"/>
  <c r="D302" i="3" s="1"/>
  <c r="C105" i="3"/>
  <c r="B105" i="3"/>
  <c r="A105" i="3"/>
  <c r="A105" i="2" s="1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B104" i="3"/>
  <c r="A104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D103" i="3"/>
  <c r="C103" i="3"/>
  <c r="B103" i="3"/>
  <c r="A103" i="3"/>
  <c r="A301" i="3" s="1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E300" i="3" s="1"/>
  <c r="D102" i="3"/>
  <c r="D300" i="3" s="1"/>
  <c r="C102" i="3"/>
  <c r="C300" i="3" s="1"/>
  <c r="B102" i="3"/>
  <c r="B300" i="3" s="1"/>
  <c r="A102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E299" i="3" s="1"/>
  <c r="D101" i="3"/>
  <c r="D299" i="3" s="1"/>
  <c r="C101" i="3"/>
  <c r="C299" i="3" s="1"/>
  <c r="B101" i="3"/>
  <c r="B299" i="3" s="1"/>
  <c r="A101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D100" i="3"/>
  <c r="C100" i="3"/>
  <c r="B100" i="3"/>
  <c r="B298" i="3" s="1"/>
  <c r="A100" i="3"/>
  <c r="A298" i="3" s="1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297" i="3" s="1"/>
  <c r="D99" i="3"/>
  <c r="D297" i="3" s="1"/>
  <c r="C99" i="3"/>
  <c r="C297" i="3" s="1"/>
  <c r="B99" i="3"/>
  <c r="A99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D98" i="3"/>
  <c r="C98" i="3"/>
  <c r="C296" i="3" s="1"/>
  <c r="B98" i="3"/>
  <c r="B296" i="3" s="1"/>
  <c r="A98" i="3"/>
  <c r="A296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D97" i="3"/>
  <c r="C97" i="3"/>
  <c r="B97" i="3"/>
  <c r="A97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D96" i="3"/>
  <c r="C96" i="3"/>
  <c r="B96" i="3"/>
  <c r="A96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D95" i="3"/>
  <c r="C95" i="3"/>
  <c r="B95" i="3"/>
  <c r="B293" i="3" s="1"/>
  <c r="A95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E292" i="3" s="1"/>
  <c r="D94" i="3"/>
  <c r="D292" i="3" s="1"/>
  <c r="C94" i="3"/>
  <c r="C292" i="3" s="1"/>
  <c r="B94" i="3"/>
  <c r="B292" i="3" s="1"/>
  <c r="A94" i="3"/>
  <c r="A292" i="3" s="1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E291" i="3" s="1"/>
  <c r="D93" i="3"/>
  <c r="C93" i="3"/>
  <c r="B93" i="3"/>
  <c r="B291" i="3" s="1"/>
  <c r="A93" i="3"/>
  <c r="A291" i="3" s="1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D92" i="3"/>
  <c r="C92" i="3"/>
  <c r="B92" i="3"/>
  <c r="A92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89" i="3" s="1"/>
  <c r="D91" i="3"/>
  <c r="D289" i="3" s="1"/>
  <c r="C91" i="3"/>
  <c r="B91" i="3"/>
  <c r="A91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D90" i="3"/>
  <c r="C90" i="3"/>
  <c r="C288" i="3" s="1"/>
  <c r="B90" i="3"/>
  <c r="B288" i="3" s="1"/>
  <c r="A90" i="3"/>
  <c r="A288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E287" i="3" s="1"/>
  <c r="D89" i="3"/>
  <c r="D287" i="3" s="1"/>
  <c r="C89" i="3"/>
  <c r="C287" i="3" s="1"/>
  <c r="B89" i="3"/>
  <c r="B287" i="3" s="1"/>
  <c r="A89" i="3"/>
  <c r="A287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E286" i="3" s="1"/>
  <c r="D88" i="3"/>
  <c r="D286" i="3" s="1"/>
  <c r="C88" i="3"/>
  <c r="C286" i="3" s="1"/>
  <c r="B88" i="3"/>
  <c r="B286" i="3" s="1"/>
  <c r="A88" i="3"/>
  <c r="A286" i="3" s="1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87" i="2" s="1"/>
  <c r="D87" i="3"/>
  <c r="D285" i="3" s="1"/>
  <c r="C87" i="3"/>
  <c r="C285" i="3" s="1"/>
  <c r="B87" i="3"/>
  <c r="A87" i="3"/>
  <c r="A285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84" i="3" s="1"/>
  <c r="D86" i="3"/>
  <c r="C86" i="3"/>
  <c r="B86" i="3"/>
  <c r="B284" i="3" s="1"/>
  <c r="A86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E283" i="3" s="1"/>
  <c r="D85" i="3"/>
  <c r="D283" i="3" s="1"/>
  <c r="C85" i="3"/>
  <c r="C283" i="3" s="1"/>
  <c r="B85" i="3"/>
  <c r="B283" i="3" s="1"/>
  <c r="A85" i="3"/>
  <c r="A283" i="3" s="1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82" i="3" s="1"/>
  <c r="D84" i="3"/>
  <c r="D282" i="3" s="1"/>
  <c r="C84" i="3"/>
  <c r="C84" i="2" s="1"/>
  <c r="B84" i="3"/>
  <c r="B84" i="2" s="1"/>
  <c r="A84" i="3"/>
  <c r="A282" i="3" s="1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81" i="3" s="1"/>
  <c r="D83" i="3"/>
  <c r="D281" i="3" s="1"/>
  <c r="C83" i="3"/>
  <c r="C281" i="3" s="1"/>
  <c r="B83" i="3"/>
  <c r="B281" i="3" s="1"/>
  <c r="A83" i="3"/>
  <c r="A281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B82" i="3"/>
  <c r="A82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E280" i="3" s="1"/>
  <c r="D81" i="3"/>
  <c r="D280" i="3" s="1"/>
  <c r="C81" i="3"/>
  <c r="C280" i="3" s="1"/>
  <c r="B81" i="3"/>
  <c r="B280" i="3" s="1"/>
  <c r="A81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79" i="3" s="1"/>
  <c r="D80" i="3"/>
  <c r="D279" i="3" s="1"/>
  <c r="C80" i="3"/>
  <c r="C279" i="3" s="1"/>
  <c r="B80" i="3"/>
  <c r="B279" i="3" s="1"/>
  <c r="A80" i="3"/>
  <c r="A279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D79" i="3"/>
  <c r="C79" i="3"/>
  <c r="B79" i="3"/>
  <c r="B278" i="3" s="1"/>
  <c r="A79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77" i="3" s="1"/>
  <c r="D78" i="3"/>
  <c r="D277" i="3" s="1"/>
  <c r="C78" i="3"/>
  <c r="B78" i="3"/>
  <c r="B277" i="3" s="1"/>
  <c r="A78" i="3"/>
  <c r="A277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D77" i="3"/>
  <c r="D276" i="3" s="1"/>
  <c r="C77" i="3"/>
  <c r="C276" i="3" s="1"/>
  <c r="B77" i="3"/>
  <c r="B276" i="3" s="1"/>
  <c r="A77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E275" i="3" s="1"/>
  <c r="D76" i="3"/>
  <c r="D275" i="3" s="1"/>
  <c r="C76" i="3"/>
  <c r="C275" i="3" s="1"/>
  <c r="B76" i="3"/>
  <c r="B275" i="3" s="1"/>
  <c r="A76" i="3"/>
  <c r="A275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74" i="3" s="1"/>
  <c r="D75" i="3"/>
  <c r="D274" i="3" s="1"/>
  <c r="C75" i="3"/>
  <c r="C274" i="3" s="1"/>
  <c r="B75" i="3"/>
  <c r="A75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D74" i="3"/>
  <c r="D273" i="3" s="1"/>
  <c r="C74" i="3"/>
  <c r="C273" i="3" s="1"/>
  <c r="B74" i="3"/>
  <c r="B273" i="3" s="1"/>
  <c r="A74" i="3"/>
  <c r="A273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72" i="3" s="1"/>
  <c r="D73" i="3"/>
  <c r="D272" i="3" s="1"/>
  <c r="C73" i="3"/>
  <c r="B73" i="3"/>
  <c r="B272" i="3" s="1"/>
  <c r="A73" i="3"/>
  <c r="A272" i="3" s="1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D72" i="3"/>
  <c r="C72" i="3"/>
  <c r="B72" i="3"/>
  <c r="A72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E270" i="3" s="1"/>
  <c r="D71" i="3"/>
  <c r="D270" i="3" s="1"/>
  <c r="C71" i="3"/>
  <c r="B71" i="3"/>
  <c r="A71" i="3"/>
  <c r="A71" i="2" s="1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D70" i="3"/>
  <c r="C70" i="3"/>
  <c r="C269" i="3" s="1"/>
  <c r="B70" i="3"/>
  <c r="A70" i="3"/>
  <c r="A269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D69" i="3"/>
  <c r="D268" i="3" s="1"/>
  <c r="C69" i="3"/>
  <c r="C268" i="3" s="1"/>
  <c r="B69" i="3"/>
  <c r="B268" i="3" s="1"/>
  <c r="A69" i="3"/>
  <c r="A268" i="3" s="1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67" i="3" s="1"/>
  <c r="D68" i="3"/>
  <c r="C68" i="3"/>
  <c r="B68" i="3"/>
  <c r="A68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D67" i="3"/>
  <c r="D266" i="3" s="1"/>
  <c r="C67" i="3"/>
  <c r="C266" i="3" s="1"/>
  <c r="B67" i="3"/>
  <c r="B266" i="3" s="1"/>
  <c r="A67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D66" i="3"/>
  <c r="C66" i="3"/>
  <c r="B66" i="3"/>
  <c r="A66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D65" i="3"/>
  <c r="D264" i="3" s="1"/>
  <c r="C65" i="3"/>
  <c r="C264" i="3" s="1"/>
  <c r="B65" i="3"/>
  <c r="A65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63" i="3" s="1"/>
  <c r="D64" i="3"/>
  <c r="D263" i="3" s="1"/>
  <c r="C64" i="3"/>
  <c r="C263" i="3" s="1"/>
  <c r="B64" i="3"/>
  <c r="B263" i="3" s="1"/>
  <c r="A64" i="3"/>
  <c r="A263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D63" i="3"/>
  <c r="D262" i="3" s="1"/>
  <c r="C63" i="3"/>
  <c r="C262" i="3" s="1"/>
  <c r="B63" i="3"/>
  <c r="A63" i="3"/>
  <c r="A262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61" i="3" s="1"/>
  <c r="D62" i="3"/>
  <c r="D261" i="3" s="1"/>
  <c r="C62" i="3"/>
  <c r="C261" i="3" s="1"/>
  <c r="B62" i="3"/>
  <c r="B261" i="3" s="1"/>
  <c r="A62" i="3"/>
  <c r="A261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D61" i="3"/>
  <c r="C61" i="3"/>
  <c r="C260" i="3" s="1"/>
  <c r="B61" i="3"/>
  <c r="B260" i="3" s="1"/>
  <c r="A61" i="3"/>
  <c r="A260" i="3" s="1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B60" i="3"/>
  <c r="B60" i="2" s="1"/>
  <c r="A60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B59" i="3"/>
  <c r="A59" i="3"/>
  <c r="A59" i="2" s="1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D58" i="3"/>
  <c r="C58" i="3"/>
  <c r="B58" i="3"/>
  <c r="B259" i="3" s="1"/>
  <c r="A58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258" i="3" s="1"/>
  <c r="D57" i="3"/>
  <c r="D258" i="3" s="1"/>
  <c r="C57" i="3"/>
  <c r="C258" i="3" s="1"/>
  <c r="B57" i="3"/>
  <c r="B258" i="3" s="1"/>
  <c r="A57" i="3"/>
  <c r="A57" i="2" s="1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257" i="3" s="1"/>
  <c r="D56" i="3"/>
  <c r="D257" i="3" s="1"/>
  <c r="C56" i="3"/>
  <c r="C257" i="3" s="1"/>
  <c r="B56" i="3"/>
  <c r="A56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D55" i="3"/>
  <c r="C55" i="3"/>
  <c r="B55" i="3"/>
  <c r="A55" i="3"/>
  <c r="A256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255" i="3" s="1"/>
  <c r="D54" i="3"/>
  <c r="D255" i="3" s="1"/>
  <c r="C54" i="3"/>
  <c r="B54" i="3"/>
  <c r="A54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254" i="3" s="1"/>
  <c r="D53" i="3"/>
  <c r="D254" i="3" s="1"/>
  <c r="C53" i="3"/>
  <c r="B53" i="3"/>
  <c r="B254" i="3" s="1"/>
  <c r="A53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E253" i="3" s="1"/>
  <c r="D52" i="3"/>
  <c r="D253" i="3" s="1"/>
  <c r="C52" i="3"/>
  <c r="B52" i="3"/>
  <c r="B253" i="3" s="1"/>
  <c r="A52" i="3"/>
  <c r="A253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D51" i="3"/>
  <c r="C51" i="3"/>
  <c r="B51" i="3"/>
  <c r="B252" i="3" s="1"/>
  <c r="A51" i="3"/>
  <c r="A252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D50" i="3"/>
  <c r="C50" i="3"/>
  <c r="B50" i="3"/>
  <c r="A50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D49" i="3"/>
  <c r="C49" i="3"/>
  <c r="C250" i="3" s="1"/>
  <c r="B49" i="3"/>
  <c r="B250" i="3" s="1"/>
  <c r="A49" i="3"/>
  <c r="A250" i="3" s="1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249" i="3" s="1"/>
  <c r="D48" i="3"/>
  <c r="D249" i="3" s="1"/>
  <c r="C48" i="3"/>
  <c r="C249" i="3" s="1"/>
  <c r="B48" i="3"/>
  <c r="B249" i="3" s="1"/>
  <c r="A48" i="3"/>
  <c r="A249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248" i="3" s="1"/>
  <c r="D47" i="3"/>
  <c r="D248" i="3" s="1"/>
  <c r="C47" i="3"/>
  <c r="C248" i="3" s="1"/>
  <c r="B47" i="3"/>
  <c r="B248" i="3" s="1"/>
  <c r="A47" i="3"/>
  <c r="A248" i="3" s="1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D46" i="3"/>
  <c r="D247" i="3" s="1"/>
  <c r="C46" i="3"/>
  <c r="C247" i="3" s="1"/>
  <c r="B46" i="3"/>
  <c r="B247" i="3" s="1"/>
  <c r="A46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45" i="2" s="1"/>
  <c r="B45" i="3"/>
  <c r="A45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D44" i="3"/>
  <c r="D246" i="3" s="1"/>
  <c r="C44" i="3"/>
  <c r="C246" i="3" s="1"/>
  <c r="B44" i="3"/>
  <c r="B246" i="3" s="1"/>
  <c r="A44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E245" i="3" s="1"/>
  <c r="D43" i="3"/>
  <c r="D245" i="3" s="1"/>
  <c r="C43" i="3"/>
  <c r="B43" i="3"/>
  <c r="B245" i="3" s="1"/>
  <c r="A43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244" i="3" s="1"/>
  <c r="D42" i="3"/>
  <c r="C42" i="3"/>
  <c r="B42" i="3"/>
  <c r="A42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E243" i="3" s="1"/>
  <c r="D41" i="3"/>
  <c r="D243" i="3" s="1"/>
  <c r="C41" i="3"/>
  <c r="C243" i="3" s="1"/>
  <c r="B41" i="3"/>
  <c r="B243" i="3" s="1"/>
  <c r="A41" i="3"/>
  <c r="A243" i="3" s="1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D40" i="3"/>
  <c r="C40" i="3"/>
  <c r="B40" i="3"/>
  <c r="B242" i="3" s="1"/>
  <c r="A40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241" i="3" s="1"/>
  <c r="D39" i="3"/>
  <c r="D241" i="3" s="1"/>
  <c r="C39" i="3"/>
  <c r="B39" i="3"/>
  <c r="A39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D38" i="3"/>
  <c r="C38" i="3"/>
  <c r="B38" i="3"/>
  <c r="B240" i="3" s="1"/>
  <c r="A38" i="3"/>
  <c r="A240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239" i="3" s="1"/>
  <c r="D37" i="3"/>
  <c r="D239" i="3" s="1"/>
  <c r="C37" i="3"/>
  <c r="B37" i="3"/>
  <c r="B239" i="3" s="1"/>
  <c r="A37" i="3"/>
  <c r="A239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D36" i="3"/>
  <c r="D238" i="3" s="1"/>
  <c r="C36" i="3"/>
  <c r="C238" i="3" s="1"/>
  <c r="B36" i="3"/>
  <c r="B238" i="3" s="1"/>
  <c r="A36" i="3"/>
  <c r="A238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237" i="3" s="1"/>
  <c r="D35" i="3"/>
  <c r="D237" i="3" s="1"/>
  <c r="C35" i="3"/>
  <c r="C237" i="3" s="1"/>
  <c r="B35" i="3"/>
  <c r="B237" i="3" s="1"/>
  <c r="A35" i="3"/>
  <c r="A35" i="2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D34" i="3"/>
  <c r="C34" i="3"/>
  <c r="C236" i="3" s="1"/>
  <c r="B34" i="3"/>
  <c r="A34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235" i="3" s="1"/>
  <c r="D33" i="3"/>
  <c r="D235" i="3" s="1"/>
  <c r="C33" i="3"/>
  <c r="C235" i="3" s="1"/>
  <c r="B33" i="3"/>
  <c r="A33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D32" i="3"/>
  <c r="C32" i="3"/>
  <c r="C32" i="2" s="1"/>
  <c r="B32" i="3"/>
  <c r="A32" i="3"/>
  <c r="A234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D31" i="3"/>
  <c r="C31" i="3"/>
  <c r="B31" i="3"/>
  <c r="B233" i="3" s="1"/>
  <c r="A31" i="3"/>
  <c r="A233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D30" i="3"/>
  <c r="D232" i="3" s="1"/>
  <c r="C30" i="3"/>
  <c r="C232" i="3" s="1"/>
  <c r="B30" i="3"/>
  <c r="B232" i="3" s="1"/>
  <c r="A30" i="3"/>
  <c r="A232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D29" i="3"/>
  <c r="D231" i="3" s="1"/>
  <c r="C29" i="3"/>
  <c r="C231" i="3" s="1"/>
  <c r="B29" i="3"/>
  <c r="B231" i="3" s="1"/>
  <c r="A29" i="3"/>
  <c r="A231" i="3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E230" i="3" s="1"/>
  <c r="D28" i="3"/>
  <c r="D230" i="3" s="1"/>
  <c r="C28" i="3"/>
  <c r="C230" i="3" s="1"/>
  <c r="B28" i="3"/>
  <c r="B230" i="3" s="1"/>
  <c r="A28" i="3"/>
  <c r="A230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229" i="3" s="1"/>
  <c r="D27" i="3"/>
  <c r="D229" i="3" s="1"/>
  <c r="C27" i="3"/>
  <c r="C229" i="3" s="1"/>
  <c r="B27" i="3"/>
  <c r="B229" i="3" s="1"/>
  <c r="A27" i="3"/>
  <c r="A229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E228" i="3" s="1"/>
  <c r="D26" i="3"/>
  <c r="C26" i="3"/>
  <c r="B26" i="3"/>
  <c r="A26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E227" i="3" s="1"/>
  <c r="D25" i="3"/>
  <c r="C25" i="3"/>
  <c r="B25" i="3"/>
  <c r="B25" i="2" s="1"/>
  <c r="A25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B24" i="3"/>
  <c r="A24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E23" i="2" s="1"/>
  <c r="B23" i="3"/>
  <c r="A23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B22" i="3"/>
  <c r="B22" i="2" s="1"/>
  <c r="A22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B21" i="3"/>
  <c r="A21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B20" i="3"/>
  <c r="A20" i="3"/>
  <c r="A20" i="2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B19" i="3"/>
  <c r="A19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E18" i="2" s="1"/>
  <c r="B18" i="3"/>
  <c r="B18" i="2" s="1"/>
  <c r="A18" i="3"/>
  <c r="A18" i="2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B17" i="3"/>
  <c r="A17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B16" i="3"/>
  <c r="A16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B15" i="3"/>
  <c r="B15" i="2" s="1"/>
  <c r="A15" i="3"/>
  <c r="A15" i="2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B14" i="3"/>
  <c r="A14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B13" i="3"/>
  <c r="A13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B12" i="3"/>
  <c r="B12" i="2" s="1"/>
  <c r="A12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B11" i="3"/>
  <c r="A11" i="3"/>
  <c r="A11" i="2" s="1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B10" i="3"/>
  <c r="A10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B9" i="3"/>
  <c r="A9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B7" i="3"/>
  <c r="B7" i="2" s="1"/>
  <c r="A7" i="3"/>
  <c r="A7" i="2" s="1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B6" i="3"/>
  <c r="A6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B5" i="3"/>
  <c r="A5" i="3"/>
  <c r="A5" i="2" s="1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E3" i="2" s="1"/>
  <c r="B3" i="3"/>
  <c r="A3" i="3"/>
  <c r="E2" i="3"/>
  <c r="D2" i="3"/>
  <c r="D2" i="2" s="1"/>
  <c r="C2" i="3"/>
  <c r="C2" i="2" s="1"/>
  <c r="B2" i="3"/>
  <c r="B2" i="2" s="1"/>
  <c r="A2" i="3"/>
  <c r="A2" i="2" s="1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B166" i="2"/>
  <c r="A166" i="2"/>
  <c r="E165" i="2"/>
  <c r="C165" i="2"/>
  <c r="B165" i="2"/>
  <c r="A165" i="2"/>
  <c r="E164" i="2"/>
  <c r="D164" i="2"/>
  <c r="C164" i="2"/>
  <c r="A164" i="2"/>
  <c r="E163" i="2"/>
  <c r="B163" i="2"/>
  <c r="A163" i="2"/>
  <c r="E162" i="2"/>
  <c r="D162" i="2"/>
  <c r="C162" i="2"/>
  <c r="B162" i="2"/>
  <c r="E161" i="2"/>
  <c r="D161" i="2"/>
  <c r="C161" i="2"/>
  <c r="B161" i="2"/>
  <c r="A161" i="2"/>
  <c r="E160" i="2"/>
  <c r="D160" i="2"/>
  <c r="C160" i="2"/>
  <c r="B160" i="2"/>
  <c r="A160" i="2"/>
  <c r="D159" i="2"/>
  <c r="C159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E146" i="2"/>
  <c r="D146" i="2"/>
  <c r="C146" i="2"/>
  <c r="B146" i="2"/>
  <c r="A146" i="2"/>
  <c r="E145" i="2"/>
  <c r="D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C141" i="2"/>
  <c r="B141" i="2"/>
  <c r="A141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B133" i="2"/>
  <c r="E132" i="2"/>
  <c r="D132" i="2"/>
  <c r="C132" i="2"/>
  <c r="B132" i="2"/>
  <c r="A132" i="2"/>
  <c r="E131" i="2"/>
  <c r="D131" i="2"/>
  <c r="C131" i="2"/>
  <c r="B131" i="2"/>
  <c r="A131" i="2"/>
  <c r="E130" i="2"/>
  <c r="C130" i="2"/>
  <c r="B130" i="2"/>
  <c r="B129" i="2"/>
  <c r="A129" i="2"/>
  <c r="E128" i="2"/>
  <c r="D128" i="2"/>
  <c r="C128" i="2"/>
  <c r="B128" i="2"/>
  <c r="A128" i="2"/>
  <c r="E127" i="2"/>
  <c r="D127" i="2"/>
  <c r="C127" i="2"/>
  <c r="A127" i="2"/>
  <c r="D126" i="2"/>
  <c r="C126" i="2"/>
  <c r="B126" i="2"/>
  <c r="A126" i="2"/>
  <c r="D125" i="2"/>
  <c r="C125" i="2"/>
  <c r="B125" i="2"/>
  <c r="A125" i="2"/>
  <c r="E124" i="2"/>
  <c r="D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A121" i="2"/>
  <c r="E120" i="2"/>
  <c r="D120" i="2"/>
  <c r="C120" i="2"/>
  <c r="B120" i="2"/>
  <c r="E119" i="2"/>
  <c r="D119" i="2"/>
  <c r="C119" i="2"/>
  <c r="B119" i="2"/>
  <c r="A119" i="2"/>
  <c r="E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E114" i="2"/>
  <c r="D114" i="2"/>
  <c r="C114" i="2"/>
  <c r="B114" i="2"/>
  <c r="E113" i="2"/>
  <c r="E112" i="2"/>
  <c r="D112" i="2"/>
  <c r="C112" i="2"/>
  <c r="B112" i="2"/>
  <c r="A112" i="2"/>
  <c r="E111" i="2"/>
  <c r="D111" i="2"/>
  <c r="C111" i="2"/>
  <c r="B111" i="2"/>
  <c r="B110" i="2"/>
  <c r="E109" i="2"/>
  <c r="D109" i="2"/>
  <c r="C109" i="2"/>
  <c r="E108" i="2"/>
  <c r="D108" i="2"/>
  <c r="C108" i="2"/>
  <c r="B108" i="2"/>
  <c r="A108" i="2"/>
  <c r="E107" i="2"/>
  <c r="D107" i="2"/>
  <c r="C107" i="2"/>
  <c r="B107" i="2"/>
  <c r="A107" i="2"/>
  <c r="D106" i="2"/>
  <c r="C106" i="2"/>
  <c r="B106" i="2"/>
  <c r="A106" i="2"/>
  <c r="E105" i="2"/>
  <c r="D105" i="2"/>
  <c r="C105" i="2"/>
  <c r="B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E101" i="2"/>
  <c r="D101" i="2"/>
  <c r="C101" i="2"/>
  <c r="B101" i="2"/>
  <c r="A101" i="2"/>
  <c r="E100" i="2"/>
  <c r="B100" i="2"/>
  <c r="A100" i="2"/>
  <c r="E99" i="2"/>
  <c r="D99" i="2"/>
  <c r="C99" i="2"/>
  <c r="B99" i="2"/>
  <c r="C98" i="2"/>
  <c r="B98" i="2"/>
  <c r="A98" i="2"/>
  <c r="E97" i="2"/>
  <c r="A97" i="2"/>
  <c r="E96" i="2"/>
  <c r="D96" i="2"/>
  <c r="C96" i="2"/>
  <c r="E95" i="2"/>
  <c r="D95" i="2"/>
  <c r="C95" i="2"/>
  <c r="B95" i="2"/>
  <c r="E94" i="2"/>
  <c r="D94" i="2"/>
  <c r="C94" i="2"/>
  <c r="B94" i="2"/>
  <c r="A94" i="2"/>
  <c r="E93" i="2"/>
  <c r="D93" i="2"/>
  <c r="C93" i="2"/>
  <c r="B93" i="2"/>
  <c r="A93" i="2"/>
  <c r="E92" i="2"/>
  <c r="D92" i="2"/>
  <c r="E91" i="2"/>
  <c r="D91" i="2"/>
  <c r="C91" i="2"/>
  <c r="B91" i="2"/>
  <c r="A91" i="2"/>
  <c r="C90" i="2"/>
  <c r="B90" i="2"/>
  <c r="A90" i="2"/>
  <c r="E89" i="2"/>
  <c r="B89" i="2"/>
  <c r="A89" i="2"/>
  <c r="E88" i="2"/>
  <c r="D88" i="2"/>
  <c r="C88" i="2"/>
  <c r="B88" i="2"/>
  <c r="A88" i="2"/>
  <c r="D87" i="2"/>
  <c r="B87" i="2"/>
  <c r="A87" i="2"/>
  <c r="E86" i="2"/>
  <c r="D86" i="2"/>
  <c r="C86" i="2"/>
  <c r="B86" i="2"/>
  <c r="E85" i="2"/>
  <c r="D85" i="2"/>
  <c r="C85" i="2"/>
  <c r="B85" i="2"/>
  <c r="A85" i="2"/>
  <c r="E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E78" i="2"/>
  <c r="D78" i="2"/>
  <c r="B78" i="2"/>
  <c r="A78" i="2"/>
  <c r="E77" i="2"/>
  <c r="D77" i="2"/>
  <c r="C77" i="2"/>
  <c r="B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B73" i="2"/>
  <c r="A73" i="2"/>
  <c r="E72" i="2"/>
  <c r="D72" i="2"/>
  <c r="D71" i="2"/>
  <c r="C71" i="2"/>
  <c r="B71" i="2"/>
  <c r="A70" i="2"/>
  <c r="D69" i="2"/>
  <c r="C69" i="2"/>
  <c r="B69" i="2"/>
  <c r="A69" i="2"/>
  <c r="E68" i="2"/>
  <c r="E67" i="2"/>
  <c r="D67" i="2"/>
  <c r="C67" i="2"/>
  <c r="B67" i="2"/>
  <c r="D65" i="2"/>
  <c r="C65" i="2"/>
  <c r="B65" i="2"/>
  <c r="A65" i="2"/>
  <c r="E64" i="2"/>
  <c r="D64" i="2"/>
  <c r="C64" i="2"/>
  <c r="A64" i="2"/>
  <c r="E63" i="2"/>
  <c r="D63" i="2"/>
  <c r="C63" i="2"/>
  <c r="B63" i="2"/>
  <c r="A63" i="2"/>
  <c r="E62" i="2"/>
  <c r="D62" i="2"/>
  <c r="C62" i="2"/>
  <c r="B62" i="2"/>
  <c r="A62" i="2"/>
  <c r="C61" i="2"/>
  <c r="B61" i="2"/>
  <c r="A61" i="2"/>
  <c r="E60" i="2"/>
  <c r="D60" i="2"/>
  <c r="C60" i="2"/>
  <c r="A60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58" i="2"/>
  <c r="E57" i="2"/>
  <c r="D57" i="2"/>
  <c r="C57" i="2"/>
  <c r="B57" i="2"/>
  <c r="E56" i="2"/>
  <c r="D56" i="2"/>
  <c r="C56" i="2"/>
  <c r="B56" i="2"/>
  <c r="A56" i="2"/>
  <c r="A55" i="2"/>
  <c r="E54" i="2"/>
  <c r="D54" i="2"/>
  <c r="E53" i="2"/>
  <c r="B53" i="2"/>
  <c r="E52" i="2"/>
  <c r="D52" i="2"/>
  <c r="C52" i="2"/>
  <c r="B52" i="2"/>
  <c r="A52" i="2"/>
  <c r="E51" i="2"/>
  <c r="D51" i="2"/>
  <c r="C51" i="2"/>
  <c r="B51" i="2"/>
  <c r="A51" i="2"/>
  <c r="E50" i="2"/>
  <c r="D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D45" i="2"/>
  <c r="C45" i="2"/>
  <c r="B45" i="2"/>
  <c r="A45" i="2"/>
  <c r="E44" i="2"/>
  <c r="D44" i="2"/>
  <c r="C44" i="2"/>
  <c r="B44" i="2"/>
  <c r="A44" i="2"/>
  <c r="E43" i="2"/>
  <c r="D43" i="2"/>
  <c r="B43" i="2"/>
  <c r="E42" i="2"/>
  <c r="C42" i="2"/>
  <c r="B42" i="2"/>
  <c r="A42" i="2"/>
  <c r="E41" i="2"/>
  <c r="D41" i="2"/>
  <c r="C41" i="2"/>
  <c r="B41" i="2"/>
  <c r="A41" i="2"/>
  <c r="B40" i="2"/>
  <c r="A40" i="2"/>
  <c r="E39" i="2"/>
  <c r="D39" i="2"/>
  <c r="C39" i="2"/>
  <c r="B39" i="2"/>
  <c r="A39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C34" i="2"/>
  <c r="E33" i="2"/>
  <c r="D33" i="2"/>
  <c r="C33" i="2"/>
  <c r="B33" i="2"/>
  <c r="A33" i="2"/>
  <c r="E32" i="2"/>
  <c r="D32" i="2"/>
  <c r="A32" i="2"/>
  <c r="E31" i="2"/>
  <c r="D31" i="2"/>
  <c r="C31" i="2"/>
  <c r="B31" i="2"/>
  <c r="A31" i="2"/>
  <c r="E30" i="2"/>
  <c r="D30" i="2"/>
  <c r="C30" i="2"/>
  <c r="B30" i="2"/>
  <c r="A30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C26" i="2"/>
  <c r="B26" i="2"/>
  <c r="A26" i="2"/>
  <c r="E24" i="2"/>
  <c r="D24" i="2"/>
  <c r="C24" i="2"/>
  <c r="B24" i="2"/>
  <c r="A24" i="2"/>
  <c r="D23" i="2"/>
  <c r="C23" i="2"/>
  <c r="B23" i="2"/>
  <c r="A23" i="2"/>
  <c r="E22" i="2"/>
  <c r="D22" i="2"/>
  <c r="C22" i="2"/>
  <c r="A22" i="2"/>
  <c r="E21" i="2"/>
  <c r="D21" i="2"/>
  <c r="C21" i="2"/>
  <c r="B21" i="2"/>
  <c r="A21" i="2"/>
  <c r="E20" i="2"/>
  <c r="D20" i="2"/>
  <c r="C20" i="2"/>
  <c r="B20" i="2"/>
  <c r="E19" i="2"/>
  <c r="D19" i="2"/>
  <c r="C19" i="2"/>
  <c r="B19" i="2"/>
  <c r="A19" i="2"/>
  <c r="D18" i="2"/>
  <c r="C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A12" i="2"/>
  <c r="E11" i="2"/>
  <c r="D11" i="2"/>
  <c r="C11" i="2"/>
  <c r="B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E6" i="2"/>
  <c r="D6" i="2"/>
  <c r="C6" i="2"/>
  <c r="B6" i="2"/>
  <c r="A6" i="2"/>
  <c r="E5" i="2"/>
  <c r="D5" i="2"/>
  <c r="C5" i="2"/>
  <c r="B5" i="2"/>
  <c r="E4" i="2"/>
  <c r="D4" i="2"/>
  <c r="C4" i="2"/>
  <c r="B4" i="2"/>
  <c r="A4" i="2"/>
  <c r="D3" i="2"/>
  <c r="C3" i="2"/>
  <c r="B3" i="2"/>
  <c r="A3" i="2"/>
  <c r="E2" i="2"/>
  <c r="F209" i="3"/>
  <c r="F238" i="3"/>
  <c r="F323" i="3"/>
  <c r="F250" i="3"/>
  <c r="F312" i="3"/>
  <c r="F339" i="3"/>
  <c r="F306" i="3"/>
  <c r="F298" i="3"/>
  <c r="F283" i="3"/>
  <c r="F204" i="3"/>
  <c r="F340" i="3"/>
  <c r="F223" i="3"/>
  <c r="F245" i="3"/>
  <c r="C387" i="3"/>
  <c r="F349" i="3"/>
  <c r="F200" i="3"/>
  <c r="F261" i="3"/>
  <c r="F358" i="3"/>
  <c r="F359" i="3"/>
  <c r="F260" i="3"/>
  <c r="F195" i="3"/>
  <c r="F231" i="3"/>
  <c r="F196" i="3"/>
  <c r="F273" i="3"/>
  <c r="F333" i="3"/>
  <c r="F353" i="3"/>
  <c r="F361" i="3"/>
  <c r="F192" i="3"/>
  <c r="F325" i="3"/>
  <c r="F256" i="3"/>
  <c r="F316" i="3"/>
  <c r="F351" i="3"/>
  <c r="F289" i="3"/>
  <c r="F266" i="3"/>
  <c r="F363" i="3"/>
  <c r="F344" i="3"/>
  <c r="F187" i="3"/>
  <c r="F227" i="3"/>
  <c r="F310" i="3"/>
  <c r="F248" i="3"/>
  <c r="F216" i="3"/>
  <c r="F285" i="3"/>
  <c r="F275" i="3"/>
  <c r="F265" i="3"/>
  <c r="F314" i="3"/>
  <c r="F278" i="3"/>
  <c r="F220" i="3"/>
  <c r="F321" i="3"/>
  <c r="F257" i="3"/>
  <c r="F303" i="3"/>
  <c r="F294" i="3"/>
  <c r="F305" i="3"/>
  <c r="F308" i="3"/>
  <c r="F354" i="3"/>
  <c r="F276" i="3"/>
  <c r="F345" i="3"/>
  <c r="F199" i="3"/>
  <c r="F233" i="3"/>
  <c r="C389" i="3"/>
  <c r="F197" i="3"/>
  <c r="F232" i="3"/>
  <c r="F350" i="3"/>
  <c r="F259" i="3"/>
  <c r="F313" i="3"/>
  <c r="F356" i="3"/>
  <c r="F218" i="3"/>
  <c r="F226" i="3"/>
  <c r="F322" i="3"/>
  <c r="F338" i="3"/>
  <c r="F194" i="3"/>
  <c r="F337" i="3"/>
  <c r="F320" i="3"/>
  <c r="F364" i="3"/>
  <c r="F258" i="3"/>
  <c r="F212" i="3"/>
  <c r="F343" i="3"/>
  <c r="F189" i="3"/>
  <c r="F228" i="3"/>
  <c r="F188" i="3"/>
  <c r="F317" i="3"/>
  <c r="F281" i="3"/>
  <c r="F207" i="3"/>
  <c r="F237" i="3"/>
  <c r="F347" i="3"/>
  <c r="F331" i="3"/>
  <c r="F208" i="3"/>
  <c r="F342" i="3"/>
  <c r="F332" i="3"/>
  <c r="F277" i="3"/>
  <c r="F215" i="3"/>
  <c r="F205" i="3"/>
  <c r="F241" i="3"/>
  <c r="F236" i="3"/>
  <c r="C385" i="3"/>
  <c r="F272" i="3"/>
  <c r="F282" i="3"/>
  <c r="F211" i="3"/>
  <c r="F239" i="3"/>
  <c r="F301" i="3"/>
  <c r="F221" i="3"/>
  <c r="F244" i="3"/>
  <c r="F346" i="3"/>
  <c r="F328" i="3"/>
  <c r="F357" i="3"/>
  <c r="F251" i="3"/>
  <c r="F213" i="3"/>
  <c r="F247" i="3"/>
  <c r="F240" i="3"/>
  <c r="F336" i="3"/>
  <c r="F295" i="3"/>
  <c r="F225" i="3"/>
  <c r="F246" i="3"/>
  <c r="F263" i="3"/>
  <c r="F217" i="3"/>
  <c r="F242" i="3"/>
  <c r="F255" i="3"/>
  <c r="F330" i="3"/>
  <c r="F271" i="3"/>
  <c r="F334" i="3"/>
  <c r="F252" i="3"/>
  <c r="F290" i="3"/>
  <c r="F311" i="3"/>
  <c r="F355" i="3"/>
  <c r="F300" i="3"/>
  <c r="F309" i="3"/>
  <c r="F292" i="3"/>
  <c r="F206" i="3"/>
  <c r="F254" i="3"/>
  <c r="F214" i="3"/>
  <c r="F267" i="3"/>
  <c r="F191" i="3"/>
  <c r="F318" i="3"/>
  <c r="F297" i="3"/>
  <c r="F229" i="3"/>
  <c r="F319" i="3"/>
  <c r="F193" i="3"/>
  <c r="F230" i="3"/>
  <c r="F201" i="3"/>
  <c r="F234" i="3"/>
  <c r="F324" i="3"/>
  <c r="F362" i="3"/>
  <c r="F262" i="3"/>
  <c r="F315" i="3"/>
  <c r="F274" i="3"/>
  <c r="F327" i="3"/>
  <c r="F307" i="3"/>
  <c r="F293" i="3"/>
  <c r="F279" i="3"/>
  <c r="F296" i="3"/>
  <c r="F249" i="3"/>
  <c r="F335" i="3"/>
  <c r="F280" i="3"/>
  <c r="F269" i="3"/>
  <c r="F348" i="3"/>
  <c r="F235" i="3"/>
  <c r="F253" i="3"/>
  <c r="F264" i="3"/>
  <c r="F203" i="3"/>
  <c r="F288" i="3"/>
  <c r="F287" i="3"/>
  <c r="F291" i="3"/>
  <c r="F284" i="3"/>
  <c r="F299" i="3"/>
  <c r="F326" i="3"/>
  <c r="F222" i="3"/>
  <c r="F286" i="3"/>
  <c r="F270" i="3"/>
  <c r="F224" i="3"/>
  <c r="F190" i="3"/>
  <c r="F202" i="3"/>
  <c r="F360" i="3"/>
  <c r="F219" i="3"/>
  <c r="F243" i="3"/>
  <c r="F352" i="3"/>
  <c r="F268" i="3"/>
  <c r="F198" i="3"/>
  <c r="F341" i="3"/>
  <c r="F302" i="3"/>
  <c r="F304" i="3"/>
  <c r="F329" i="3"/>
  <c r="F210" i="3"/>
  <c r="B373" i="3" l="1"/>
  <c r="E236" i="3"/>
  <c r="E34" i="2"/>
  <c r="D236" i="3"/>
  <c r="D34" i="2"/>
  <c r="A255" i="3"/>
  <c r="A54" i="2"/>
  <c r="C307" i="3"/>
  <c r="C110" i="2"/>
  <c r="A311" i="3"/>
  <c r="A114" i="2"/>
  <c r="B323" i="3"/>
  <c r="B127" i="2"/>
  <c r="C277" i="3"/>
  <c r="C78" i="2"/>
  <c r="D307" i="3"/>
  <c r="D110" i="2"/>
  <c r="A315" i="3"/>
  <c r="A118" i="2"/>
  <c r="C325" i="3"/>
  <c r="C129" i="2"/>
  <c r="D260" i="3"/>
  <c r="D61" i="2"/>
  <c r="B315" i="3"/>
  <c r="B118" i="2"/>
  <c r="D325" i="3"/>
  <c r="D129" i="2"/>
  <c r="A300" i="3"/>
  <c r="A102" i="2"/>
  <c r="E69" i="2"/>
  <c r="E268" i="3"/>
  <c r="C50" i="2"/>
  <c r="C251" i="3"/>
  <c r="B79" i="2"/>
  <c r="B267" i="3"/>
  <c r="B68" i="2"/>
  <c r="A109" i="2"/>
  <c r="D227" i="3"/>
  <c r="D25" i="2"/>
  <c r="C240" i="3"/>
  <c r="C38" i="2"/>
  <c r="C267" i="3"/>
  <c r="C68" i="2"/>
  <c r="C336" i="3"/>
  <c r="C140" i="2"/>
  <c r="A329" i="3"/>
  <c r="B255" i="3"/>
  <c r="B54" i="2"/>
  <c r="C255" i="3"/>
  <c r="C54" i="2"/>
  <c r="E158" i="2"/>
  <c r="E353" i="3"/>
  <c r="B251" i="3"/>
  <c r="B50" i="2"/>
  <c r="C163" i="2"/>
  <c r="C358" i="3"/>
  <c r="E231" i="3"/>
  <c r="E29" i="2"/>
  <c r="D361" i="3"/>
  <c r="D166" i="2"/>
  <c r="E361" i="3"/>
  <c r="E166" i="2"/>
  <c r="B256" i="3"/>
  <c r="B55" i="2"/>
  <c r="A267" i="3"/>
  <c r="A68" i="2"/>
  <c r="C227" i="3"/>
  <c r="C25" i="2"/>
  <c r="D29" i="2"/>
  <c r="B109" i="2"/>
  <c r="D240" i="3"/>
  <c r="D38" i="2"/>
  <c r="D267" i="3"/>
  <c r="D68" i="2"/>
  <c r="D336" i="3"/>
  <c r="D140" i="2"/>
  <c r="E260" i="3"/>
  <c r="E61" i="2"/>
  <c r="A86" i="2"/>
  <c r="A284" i="3"/>
  <c r="E307" i="3"/>
  <c r="E110" i="2"/>
  <c r="C315" i="3"/>
  <c r="C118" i="2"/>
  <c r="A77" i="2"/>
  <c r="A276" i="3"/>
  <c r="A254" i="3"/>
  <c r="A53" i="2"/>
  <c r="E265" i="3"/>
  <c r="E66" i="2"/>
  <c r="A227" i="3"/>
  <c r="A25" i="2"/>
  <c r="A310" i="3"/>
  <c r="A113" i="2"/>
  <c r="B310" i="3"/>
  <c r="B113" i="2"/>
  <c r="C256" i="3"/>
  <c r="C55" i="2"/>
  <c r="E240" i="3"/>
  <c r="E38" i="2"/>
  <c r="B269" i="3"/>
  <c r="B70" i="2"/>
  <c r="E336" i="3"/>
  <c r="E140" i="2"/>
  <c r="A302" i="3"/>
  <c r="C329" i="3"/>
  <c r="D315" i="3"/>
  <c r="D118" i="2"/>
  <c r="D256" i="3"/>
  <c r="D55" i="2"/>
  <c r="C298" i="3"/>
  <c r="C100" i="2"/>
  <c r="B343" i="3"/>
  <c r="B147" i="2"/>
  <c r="B102" i="2"/>
  <c r="E242" i="3"/>
  <c r="E40" i="2"/>
  <c r="A271" i="3"/>
  <c r="A72" i="2"/>
  <c r="A294" i="3"/>
  <c r="A96" i="2"/>
  <c r="C295" i="3"/>
  <c r="C97" i="2"/>
  <c r="C89" i="2"/>
  <c r="A58" i="2"/>
  <c r="A259" i="3"/>
  <c r="E71" i="2"/>
  <c r="C70" i="2"/>
  <c r="D259" i="3"/>
  <c r="D58" i="2"/>
  <c r="B265" i="3"/>
  <c r="B66" i="2"/>
  <c r="D337" i="3"/>
  <c r="D141" i="2"/>
  <c r="E285" i="3"/>
  <c r="D358" i="3"/>
  <c r="D163" i="2"/>
  <c r="C242" i="3"/>
  <c r="C40" i="2"/>
  <c r="D242" i="3"/>
  <c r="D40" i="2"/>
  <c r="E256" i="3"/>
  <c r="E55" i="2"/>
  <c r="D269" i="3"/>
  <c r="D70" i="2"/>
  <c r="D298" i="3"/>
  <c r="D100" i="2"/>
  <c r="E269" i="3"/>
  <c r="E70" i="2"/>
  <c r="C113" i="2"/>
  <c r="B271" i="3"/>
  <c r="B72" i="2"/>
  <c r="D288" i="3"/>
  <c r="D90" i="2"/>
  <c r="C290" i="3"/>
  <c r="C92" i="2"/>
  <c r="D360" i="3"/>
  <c r="D165" i="2"/>
  <c r="A147" i="2"/>
  <c r="C271" i="3"/>
  <c r="C72" i="2"/>
  <c r="D89" i="2"/>
  <c r="B234" i="3"/>
  <c r="B32" i="2"/>
  <c r="A265" i="3"/>
  <c r="A66" i="2"/>
  <c r="A312" i="3"/>
  <c r="A115" i="2"/>
  <c r="A130" i="2"/>
  <c r="E259" i="3"/>
  <c r="E58" i="2"/>
  <c r="E264" i="3"/>
  <c r="E65" i="2"/>
  <c r="C265" i="3"/>
  <c r="C66" i="2"/>
  <c r="E141" i="2"/>
  <c r="E337" i="3"/>
  <c r="B359" i="3"/>
  <c r="B164" i="2"/>
  <c r="B295" i="3"/>
  <c r="B97" i="2"/>
  <c r="D296" i="3"/>
  <c r="D98" i="2"/>
  <c r="E296" i="3"/>
  <c r="E98" i="2"/>
  <c r="B294" i="3"/>
  <c r="B96" i="2"/>
  <c r="D295" i="3"/>
  <c r="D97" i="2"/>
  <c r="D113" i="2"/>
  <c r="E288" i="3"/>
  <c r="E90" i="2"/>
  <c r="B318" i="3"/>
  <c r="B121" i="2"/>
  <c r="C259" i="3"/>
  <c r="C58" i="2"/>
  <c r="C87" i="2"/>
  <c r="D244" i="3"/>
  <c r="D42" i="2"/>
  <c r="D265" i="3"/>
  <c r="D66" i="2"/>
  <c r="D326" i="3"/>
  <c r="D130" i="2"/>
  <c r="C361" i="3"/>
  <c r="C166" i="2"/>
  <c r="C272" i="3"/>
  <c r="C73" i="2"/>
  <c r="E125" i="2"/>
  <c r="A245" i="3"/>
  <c r="A43" i="2"/>
  <c r="C254" i="3"/>
  <c r="C53" i="2"/>
  <c r="E129" i="2"/>
  <c r="A236" i="3"/>
  <c r="A34" i="2"/>
  <c r="D84" i="2"/>
  <c r="D228" i="3"/>
  <c r="D26" i="2"/>
  <c r="B236" i="3"/>
  <c r="B34" i="2"/>
  <c r="C245" i="3"/>
  <c r="C43" i="2"/>
  <c r="A290" i="3"/>
  <c r="A92" i="2"/>
  <c r="E354" i="3"/>
  <c r="E159" i="2"/>
  <c r="A67" i="2"/>
  <c r="A266" i="3"/>
  <c r="B290" i="3"/>
  <c r="B92" i="2"/>
  <c r="A308" i="3"/>
  <c r="A111" i="2"/>
  <c r="D348" i="3"/>
  <c r="D153" i="2"/>
  <c r="A297" i="3"/>
  <c r="A99" i="2"/>
  <c r="A293" i="3"/>
  <c r="A95" i="2"/>
  <c r="A120" i="2"/>
  <c r="A317" i="3"/>
  <c r="A258" i="3"/>
  <c r="D53" i="2"/>
  <c r="B64" i="2"/>
  <c r="D73" i="2"/>
  <c r="E25" i="2"/>
  <c r="A79" i="2"/>
  <c r="A278" i="3"/>
  <c r="A159" i="2"/>
  <c r="A354" i="3"/>
  <c r="B159" i="2"/>
  <c r="B354" i="3"/>
  <c r="C341" i="3"/>
  <c r="C145" i="2"/>
  <c r="C183" i="3"/>
  <c r="B183" i="3"/>
  <c r="B385" i="3" l="1"/>
  <c r="B387" i="3"/>
  <c r="B379" i="3"/>
  <c r="B389" i="3"/>
  <c r="B377" i="3"/>
  <c r="B381" i="3"/>
  <c r="AW391" i="3" l="1"/>
  <c r="AW392" i="3" s="1"/>
  <c r="AC391" i="3"/>
  <c r="AC392" i="3" s="1"/>
  <c r="I391" i="3"/>
  <c r="I392" i="3" s="1"/>
  <c r="AV391" i="3"/>
  <c r="AV392" i="3" s="1"/>
  <c r="AB391" i="3"/>
  <c r="AB392" i="3" s="1"/>
  <c r="H391" i="3"/>
  <c r="H392" i="3" s="1"/>
  <c r="AU391" i="3"/>
  <c r="AU392" i="3" s="1"/>
  <c r="AA391" i="3"/>
  <c r="AA392" i="3" s="1"/>
  <c r="G391" i="3"/>
  <c r="G392" i="3" s="1"/>
  <c r="BH391" i="3"/>
  <c r="BH392" i="3" s="1"/>
  <c r="AK391" i="3"/>
  <c r="AK392" i="3" s="1"/>
  <c r="N391" i="3"/>
  <c r="N392" i="3" s="1"/>
  <c r="BG391" i="3"/>
  <c r="BG392" i="3" s="1"/>
  <c r="AJ391" i="3"/>
  <c r="AJ392" i="3" s="1"/>
  <c r="M391" i="3"/>
  <c r="M392" i="3" s="1"/>
  <c r="BF391" i="3"/>
  <c r="BF392" i="3" s="1"/>
  <c r="AI391" i="3"/>
  <c r="AI392" i="3" s="1"/>
  <c r="L391" i="3"/>
  <c r="L392" i="3" s="1"/>
  <c r="AY391" i="3"/>
  <c r="AY392" i="3" s="1"/>
  <c r="V391" i="3"/>
  <c r="V392" i="3" s="1"/>
  <c r="AX391" i="3"/>
  <c r="AX392" i="3" s="1"/>
  <c r="U391" i="3"/>
  <c r="U392" i="3" s="1"/>
  <c r="AT391" i="3"/>
  <c r="AT392" i="3" s="1"/>
  <c r="T391" i="3"/>
  <c r="T392" i="3" s="1"/>
  <c r="AM391" i="3"/>
  <c r="AM392" i="3" s="1"/>
  <c r="D391" i="3"/>
  <c r="D392" i="3" s="1"/>
  <c r="AL391" i="3"/>
  <c r="AL392" i="3" s="1"/>
  <c r="C391" i="3"/>
  <c r="C392" i="3" s="1"/>
  <c r="AH391" i="3"/>
  <c r="AH392" i="3" s="1"/>
  <c r="B391" i="3"/>
  <c r="B392" i="3" s="1"/>
  <c r="BJ391" i="3"/>
  <c r="BJ392" i="3" s="1"/>
  <c r="X391" i="3"/>
  <c r="X392" i="3" s="1"/>
  <c r="BI391" i="3"/>
  <c r="BI392" i="3" s="1"/>
  <c r="W391" i="3"/>
  <c r="W392" i="3" s="1"/>
  <c r="BE391" i="3"/>
  <c r="BE392" i="3" s="1"/>
  <c r="S391" i="3"/>
  <c r="S392" i="3" s="1"/>
  <c r="BA391" i="3"/>
  <c r="BA392" i="3" s="1"/>
  <c r="F391" i="3"/>
  <c r="F392" i="3" s="1"/>
  <c r="AZ391" i="3"/>
  <c r="AZ392" i="3" s="1"/>
  <c r="E391" i="3"/>
  <c r="E392" i="3" s="1"/>
  <c r="AS391" i="3"/>
  <c r="AS392" i="3" s="1"/>
  <c r="AO391" i="3"/>
  <c r="AO392" i="3" s="1"/>
  <c r="AN391" i="3"/>
  <c r="AN392" i="3" s="1"/>
  <c r="AG391" i="3"/>
  <c r="AG392" i="3" s="1"/>
  <c r="Z391" i="3"/>
  <c r="Z392" i="3" s="1"/>
  <c r="Y391" i="3"/>
  <c r="Y392" i="3" s="1"/>
  <c r="R391" i="3"/>
  <c r="R392" i="3" s="1"/>
  <c r="K391" i="3"/>
  <c r="K392" i="3" s="1"/>
  <c r="J391" i="3"/>
  <c r="J392" i="3" s="1"/>
  <c r="BB391" i="3"/>
  <c r="BB392" i="3" s="1"/>
  <c r="BD391" i="3"/>
  <c r="BD392" i="3" s="1"/>
  <c r="AR391" i="3"/>
  <c r="AR392" i="3" s="1"/>
  <c r="BC391" i="3"/>
  <c r="BC392" i="3" s="1"/>
  <c r="AF391" i="3"/>
  <c r="AF392" i="3" s="1"/>
  <c r="AQ391" i="3"/>
  <c r="AQ392" i="3" s="1"/>
  <c r="AE391" i="3"/>
  <c r="AE392" i="3" s="1"/>
  <c r="Q391" i="3"/>
  <c r="Q392" i="3" s="1"/>
  <c r="O391" i="3"/>
  <c r="O392" i="3" s="1"/>
  <c r="AP391" i="3"/>
  <c r="AP392" i="3" s="1"/>
  <c r="AD391" i="3"/>
  <c r="AD392" i="3" s="1"/>
  <c r="P391" i="3"/>
  <c r="P392" i="3" s="1"/>
  <c r="AS383" i="3"/>
  <c r="AS384" i="3" s="1"/>
  <c r="Y383" i="3"/>
  <c r="Y384" i="3" s="1"/>
  <c r="E383" i="3"/>
  <c r="E384" i="3" s="1"/>
  <c r="AR383" i="3"/>
  <c r="AR384" i="3" s="1"/>
  <c r="X383" i="3"/>
  <c r="X384" i="3" s="1"/>
  <c r="D383" i="3"/>
  <c r="D384" i="3" s="1"/>
  <c r="AQ383" i="3"/>
  <c r="AQ384" i="3" s="1"/>
  <c r="W383" i="3"/>
  <c r="W384" i="3" s="1"/>
  <c r="C383" i="3"/>
  <c r="C384" i="3" s="1"/>
  <c r="BE383" i="3"/>
  <c r="BE384" i="3" s="1"/>
  <c r="AH383" i="3"/>
  <c r="AH384" i="3" s="1"/>
  <c r="K383" i="3"/>
  <c r="K384" i="3" s="1"/>
  <c r="BD383" i="3"/>
  <c r="BD384" i="3" s="1"/>
  <c r="AG383" i="3"/>
  <c r="AG384" i="3" s="1"/>
  <c r="J383" i="3"/>
  <c r="J384" i="3" s="1"/>
  <c r="BC383" i="3"/>
  <c r="BC384" i="3" s="1"/>
  <c r="AF383" i="3"/>
  <c r="AF384" i="3" s="1"/>
  <c r="I383" i="3"/>
  <c r="I384" i="3" s="1"/>
  <c r="AY383" i="3"/>
  <c r="AY384" i="3" s="1"/>
  <c r="V383" i="3"/>
  <c r="V384" i="3" s="1"/>
  <c r="AX383" i="3"/>
  <c r="AX384" i="3" s="1"/>
  <c r="U383" i="3"/>
  <c r="U384" i="3" s="1"/>
  <c r="AW383" i="3"/>
  <c r="AW384" i="3" s="1"/>
  <c r="T383" i="3"/>
  <c r="T384" i="3" s="1"/>
  <c r="AV383" i="3"/>
  <c r="AV384" i="3" s="1"/>
  <c r="P383" i="3"/>
  <c r="P384" i="3" s="1"/>
  <c r="AU383" i="3"/>
  <c r="AU384" i="3" s="1"/>
  <c r="O383" i="3"/>
  <c r="O384" i="3" s="1"/>
  <c r="AT383" i="3"/>
  <c r="AT384" i="3" s="1"/>
  <c r="N383" i="3"/>
  <c r="N384" i="3" s="1"/>
  <c r="BA383" i="3"/>
  <c r="BA384" i="3" s="1"/>
  <c r="L383" i="3"/>
  <c r="L384" i="3" s="1"/>
  <c r="AZ383" i="3"/>
  <c r="AZ384" i="3" s="1"/>
  <c r="H383" i="3"/>
  <c r="H384" i="3" s="1"/>
  <c r="AP383" i="3"/>
  <c r="AP384" i="3" s="1"/>
  <c r="G383" i="3"/>
  <c r="G384" i="3" s="1"/>
  <c r="BI383" i="3"/>
  <c r="BI384" i="3" s="1"/>
  <c r="Q383" i="3"/>
  <c r="Q384" i="3" s="1"/>
  <c r="BH383" i="3"/>
  <c r="BH384" i="3" s="1"/>
  <c r="M383" i="3"/>
  <c r="M384" i="3" s="1"/>
  <c r="BG383" i="3"/>
  <c r="BG384" i="3" s="1"/>
  <c r="F383" i="3"/>
  <c r="F384" i="3" s="1"/>
  <c r="AC383" i="3"/>
  <c r="AC384" i="3" s="1"/>
  <c r="AB383" i="3"/>
  <c r="AB384" i="3" s="1"/>
  <c r="AA383" i="3"/>
  <c r="AA384" i="3" s="1"/>
  <c r="BF383" i="3"/>
  <c r="BF384" i="3" s="1"/>
  <c r="BB383" i="3"/>
  <c r="BB384" i="3" s="1"/>
  <c r="AO383" i="3"/>
  <c r="AO384" i="3" s="1"/>
  <c r="S383" i="3"/>
  <c r="S384" i="3" s="1"/>
  <c r="R383" i="3"/>
  <c r="R384" i="3" s="1"/>
  <c r="B383" i="3"/>
  <c r="B384" i="3" s="1"/>
  <c r="BJ383" i="3"/>
  <c r="BJ384" i="3" s="1"/>
  <c r="AN383" i="3"/>
  <c r="AN384" i="3" s="1"/>
  <c r="AM383" i="3"/>
  <c r="AM384" i="3" s="1"/>
  <c r="AL383" i="3"/>
  <c r="AL384" i="3" s="1"/>
  <c r="AE383" i="3"/>
  <c r="AE384" i="3" s="1"/>
  <c r="AD383" i="3"/>
  <c r="AD384" i="3" s="1"/>
  <c r="Z383" i="3"/>
  <c r="Z384" i="3" s="1"/>
  <c r="AK383" i="3"/>
  <c r="AK384" i="3" s="1"/>
  <c r="AJ383" i="3"/>
  <c r="AJ384" i="3" s="1"/>
  <c r="AI383" i="3"/>
  <c r="AI384" i="3" s="1"/>
  <c r="AC2" i="3" l="1"/>
  <c r="CK2" i="3"/>
  <c r="BL2" i="3"/>
  <c r="DT2" i="3"/>
  <c r="J2" i="3"/>
  <c r="BR2" i="3"/>
  <c r="DA2" i="3"/>
  <c r="AS2" i="3"/>
  <c r="K2" i="3"/>
  <c r="BS2" i="3"/>
  <c r="AQ2" i="3"/>
  <c r="CY2" i="3"/>
  <c r="BW2" i="3"/>
  <c r="O2" i="3"/>
  <c r="BY2" i="3"/>
  <c r="Q2" i="3"/>
  <c r="CH2" i="3"/>
  <c r="Z2" i="3"/>
  <c r="AX2" i="3"/>
  <c r="DF2" i="3"/>
  <c r="BO2" i="3"/>
  <c r="G2" i="3"/>
  <c r="AD2" i="3"/>
  <c r="CL2" i="3"/>
  <c r="DG2" i="3"/>
  <c r="AY2" i="3"/>
  <c r="CI2" i="3"/>
  <c r="AA2" i="3"/>
  <c r="AE2" i="3"/>
  <c r="CM2" i="3"/>
  <c r="CE2" i="3"/>
  <c r="W2" i="3"/>
  <c r="DC2" i="3"/>
  <c r="AU2" i="3"/>
  <c r="AF2" i="3"/>
  <c r="CN2" i="3"/>
  <c r="DH2" i="3"/>
  <c r="AZ2" i="3"/>
  <c r="H2" i="3"/>
  <c r="BP2" i="3"/>
  <c r="CQ2" i="3"/>
  <c r="AI2" i="3"/>
  <c r="CP2" i="3"/>
  <c r="AH2" i="3"/>
  <c r="AO2" i="3"/>
  <c r="CW2" i="3"/>
  <c r="BU2" i="3"/>
  <c r="M2" i="3"/>
  <c r="AP2" i="3"/>
  <c r="CX2" i="3"/>
  <c r="DO2" i="3"/>
  <c r="BG2" i="3"/>
  <c r="V2" i="3"/>
  <c r="CD2" i="3"/>
  <c r="BN2" i="3"/>
  <c r="F2" i="3"/>
  <c r="DB2" i="3"/>
  <c r="AT2" i="3"/>
  <c r="DQ2" i="3"/>
  <c r="BI2" i="3"/>
  <c r="I2" i="3"/>
  <c r="BQ2" i="3"/>
  <c r="X2" i="3"/>
  <c r="CF2" i="3"/>
  <c r="CJ2" i="3"/>
  <c r="AB2" i="3"/>
  <c r="DS2" i="3"/>
  <c r="BK2" i="3"/>
  <c r="BB2" i="3"/>
  <c r="DJ2" i="3"/>
  <c r="CB2" i="3"/>
  <c r="T2" i="3"/>
  <c r="DN2" i="3"/>
  <c r="BF2" i="3"/>
  <c r="DU2" i="3"/>
  <c r="BM2" i="3"/>
  <c r="DL2" i="3"/>
  <c r="BD2" i="3"/>
  <c r="U2" i="3"/>
  <c r="CC2" i="3"/>
  <c r="DE2" i="3"/>
  <c r="AW2" i="3"/>
  <c r="CZ2" i="3"/>
  <c r="AR2" i="3"/>
  <c r="DM2" i="3"/>
  <c r="BE2" i="3"/>
  <c r="CA2" i="3"/>
  <c r="S2" i="3"/>
  <c r="CT2" i="3"/>
  <c r="AL2" i="3"/>
  <c r="DR2" i="3"/>
  <c r="BJ2" i="3"/>
  <c r="BA2" i="3"/>
  <c r="DI2" i="3"/>
  <c r="AV2" i="3"/>
  <c r="DD2" i="3"/>
  <c r="AN2" i="3"/>
  <c r="CV2" i="3"/>
  <c r="BT2" i="3"/>
  <c r="L2" i="3"/>
  <c r="AG2" i="3"/>
  <c r="CO2" i="3"/>
  <c r="CR2" i="3"/>
  <c r="AJ2" i="3"/>
  <c r="DK2" i="3"/>
  <c r="BC2" i="3"/>
  <c r="N2" i="3"/>
  <c r="BV2" i="3"/>
  <c r="AK2" i="3"/>
  <c r="CS2" i="3"/>
  <c r="BH2" i="3"/>
  <c r="DP2" i="3"/>
  <c r="BZ2" i="3"/>
  <c r="R2" i="3"/>
  <c r="AM2" i="3"/>
  <c r="CU2" i="3"/>
  <c r="BX2" i="3"/>
  <c r="P2" i="3"/>
  <c r="CG2" i="3"/>
  <c r="Y2" i="3"/>
  <c r="AC96" i="3"/>
  <c r="AC159" i="3"/>
  <c r="AC92" i="3"/>
  <c r="AC64" i="3"/>
  <c r="AC74" i="3"/>
  <c r="AC28" i="3"/>
  <c r="AC12" i="3"/>
  <c r="AC57" i="3"/>
  <c r="AC125" i="3"/>
  <c r="AC7" i="3"/>
  <c r="AC89" i="3"/>
  <c r="AC121" i="3"/>
  <c r="AC153" i="3"/>
  <c r="AC33" i="3"/>
  <c r="AC88" i="3"/>
  <c r="AC58" i="3"/>
  <c r="AC23" i="3"/>
  <c r="AC71" i="3"/>
  <c r="AC75" i="3"/>
  <c r="AC68" i="3"/>
  <c r="AC4" i="3"/>
  <c r="AC109" i="3"/>
  <c r="AC70" i="3"/>
  <c r="AC17" i="3"/>
  <c r="AC78" i="3"/>
  <c r="AC25" i="3"/>
  <c r="AC105" i="3"/>
  <c r="AC133" i="3"/>
  <c r="AC43" i="3"/>
  <c r="AC87" i="3"/>
  <c r="AC49" i="3"/>
  <c r="AC99" i="3"/>
  <c r="AC168" i="3"/>
  <c r="AC140" i="3"/>
  <c r="AC169" i="3"/>
  <c r="AC77" i="3"/>
  <c r="AC62" i="3"/>
  <c r="AC128" i="3"/>
  <c r="AC19" i="3"/>
  <c r="AC144" i="3"/>
  <c r="AC11" i="3"/>
  <c r="AC36" i="3"/>
  <c r="AC46" i="3"/>
  <c r="AC54" i="3"/>
  <c r="AC79" i="3"/>
  <c r="AC97" i="3"/>
  <c r="AC131" i="3"/>
  <c r="AC22" i="3"/>
  <c r="AC139" i="3"/>
  <c r="AC50" i="3"/>
  <c r="AC69" i="3"/>
  <c r="AC44" i="3"/>
  <c r="AC93" i="3"/>
  <c r="AC18" i="3"/>
  <c r="AC48" i="3"/>
  <c r="AC15" i="3"/>
  <c r="AC41" i="3"/>
  <c r="AC56" i="3"/>
  <c r="AC117" i="3"/>
  <c r="AC20" i="3"/>
  <c r="AC61" i="3"/>
  <c r="AC102" i="3"/>
  <c r="AC5" i="3"/>
  <c r="AC29" i="3"/>
  <c r="AC76" i="3"/>
  <c r="AC134" i="3"/>
  <c r="AC161" i="3"/>
  <c r="AC39" i="3"/>
  <c r="AC98" i="3"/>
  <c r="AC111" i="3"/>
  <c r="AC132" i="3"/>
  <c r="AC40" i="3"/>
  <c r="AC52" i="3"/>
  <c r="AC55" i="3"/>
  <c r="AC65" i="3"/>
  <c r="AC31" i="3"/>
  <c r="AC53" i="3"/>
  <c r="AC66" i="3"/>
  <c r="AC81" i="3"/>
  <c r="AC86" i="3"/>
  <c r="AC116" i="3"/>
  <c r="AC164" i="3"/>
  <c r="AC35" i="3"/>
  <c r="AC47" i="3"/>
  <c r="AC67" i="3"/>
  <c r="AC129" i="3"/>
  <c r="AC6" i="3"/>
  <c r="AC13" i="3"/>
  <c r="AC115" i="3"/>
  <c r="AC10" i="3"/>
  <c r="AC80" i="3"/>
  <c r="AC120" i="3"/>
  <c r="AC27" i="3"/>
  <c r="AC51" i="3"/>
  <c r="AC63" i="3"/>
  <c r="AC94" i="3"/>
  <c r="AC142" i="3"/>
  <c r="AC16" i="3"/>
  <c r="AC32" i="3"/>
  <c r="AC37" i="3"/>
  <c r="AC83" i="3"/>
  <c r="AC130" i="3"/>
  <c r="AC9" i="3"/>
  <c r="AC135" i="3"/>
  <c r="AC14" i="3"/>
  <c r="AC26" i="3"/>
  <c r="AC30" i="3"/>
  <c r="AC34" i="3"/>
  <c r="AC38" i="3"/>
  <c r="AC42" i="3"/>
  <c r="AC95" i="3"/>
  <c r="AC145" i="3"/>
  <c r="AC146" i="3"/>
  <c r="AC21" i="3"/>
  <c r="AC72" i="3"/>
  <c r="AC84" i="3"/>
  <c r="AC149" i="3"/>
  <c r="AC8" i="3"/>
  <c r="AC73" i="3"/>
  <c r="AC103" i="3"/>
  <c r="AC124" i="3"/>
  <c r="AC137" i="3"/>
  <c r="AC90" i="3"/>
  <c r="AC100" i="3"/>
  <c r="AC107" i="3"/>
  <c r="AC136" i="3"/>
  <c r="AC138" i="3"/>
  <c r="AC143" i="3"/>
  <c r="AC154" i="3"/>
  <c r="AC85" i="3"/>
  <c r="AC91" i="3"/>
  <c r="AC101" i="3"/>
  <c r="AC112" i="3"/>
  <c r="AC119" i="3"/>
  <c r="AC141" i="3"/>
  <c r="AC152" i="3"/>
  <c r="AC156" i="3"/>
  <c r="AC165" i="3"/>
  <c r="AC108" i="3"/>
  <c r="AC113" i="3"/>
  <c r="AC123" i="3"/>
  <c r="AC127" i="3"/>
  <c r="AC147" i="3"/>
  <c r="AC166" i="3"/>
  <c r="AC150" i="3"/>
  <c r="AC155" i="3"/>
  <c r="AC157" i="3"/>
  <c r="AC106" i="3"/>
  <c r="AC110" i="3"/>
  <c r="AC114" i="3"/>
  <c r="AC118" i="3"/>
  <c r="AC122" i="3"/>
  <c r="AC151" i="3"/>
  <c r="AC160" i="3"/>
  <c r="AC162" i="3"/>
  <c r="AC167" i="3"/>
  <c r="AC158" i="3"/>
  <c r="AC163" i="3"/>
  <c r="I43" i="3"/>
  <c r="I141" i="3"/>
  <c r="I115" i="3"/>
  <c r="I53" i="3"/>
  <c r="I18" i="3"/>
  <c r="I69" i="3"/>
  <c r="I137" i="3"/>
  <c r="I17" i="3"/>
  <c r="I67" i="3"/>
  <c r="I29" i="3"/>
  <c r="I105" i="3"/>
  <c r="I5" i="3"/>
  <c r="I62" i="3"/>
  <c r="I144" i="3"/>
  <c r="I36" i="3"/>
  <c r="I157" i="3"/>
  <c r="I11" i="3"/>
  <c r="I50" i="3"/>
  <c r="I86" i="3"/>
  <c r="I94" i="3"/>
  <c r="I117" i="3"/>
  <c r="I41" i="3"/>
  <c r="I83" i="3"/>
  <c r="I96" i="3"/>
  <c r="I135" i="3"/>
  <c r="I63" i="3"/>
  <c r="I101" i="3"/>
  <c r="I7" i="3"/>
  <c r="I156" i="3"/>
  <c r="I19" i="3"/>
  <c r="I35" i="3"/>
  <c r="I54" i="3"/>
  <c r="I56" i="3"/>
  <c r="I44" i="3"/>
  <c r="I79" i="3"/>
  <c r="I98" i="3"/>
  <c r="I40" i="3"/>
  <c r="I102" i="3"/>
  <c r="I134" i="3"/>
  <c r="I6" i="3"/>
  <c r="I12" i="3"/>
  <c r="I66" i="3"/>
  <c r="I31" i="3"/>
  <c r="I120" i="3"/>
  <c r="I75" i="3"/>
  <c r="I51" i="3"/>
  <c r="I95" i="3"/>
  <c r="I55" i="3"/>
  <c r="I127" i="3"/>
  <c r="I125" i="3"/>
  <c r="I49" i="3"/>
  <c r="I81" i="3"/>
  <c r="I159" i="3"/>
  <c r="I32" i="3"/>
  <c r="I48" i="3"/>
  <c r="I70" i="3"/>
  <c r="I129" i="3"/>
  <c r="I130" i="3"/>
  <c r="I147" i="3"/>
  <c r="I65" i="3"/>
  <c r="I73" i="3"/>
  <c r="I111" i="3"/>
  <c r="I162" i="3"/>
  <c r="I37" i="3"/>
  <c r="I87" i="3"/>
  <c r="I151" i="3"/>
  <c r="I15" i="3"/>
  <c r="I25" i="3"/>
  <c r="I71" i="3"/>
  <c r="I74" i="3"/>
  <c r="I103" i="3"/>
  <c r="I136" i="3"/>
  <c r="I166" i="3"/>
  <c r="I46" i="3"/>
  <c r="I47" i="3"/>
  <c r="I77" i="3"/>
  <c r="I149" i="3"/>
  <c r="I165" i="3"/>
  <c r="I9" i="3"/>
  <c r="I16" i="3"/>
  <c r="I61" i="3"/>
  <c r="I84" i="3"/>
  <c r="I27" i="3"/>
  <c r="I58" i="3"/>
  <c r="I64" i="3"/>
  <c r="I91" i="3"/>
  <c r="I99" i="3"/>
  <c r="I107" i="3"/>
  <c r="I22" i="3"/>
  <c r="I39" i="3"/>
  <c r="I78" i="3"/>
  <c r="I97" i="3"/>
  <c r="I112" i="3"/>
  <c r="I4" i="3"/>
  <c r="I88" i="3"/>
  <c r="I142" i="3"/>
  <c r="I10" i="3"/>
  <c r="I20" i="3"/>
  <c r="I28" i="3"/>
  <c r="I33" i="3"/>
  <c r="I153" i="3"/>
  <c r="I68" i="3"/>
  <c r="I93" i="3"/>
  <c r="I139" i="3"/>
  <c r="I146" i="3"/>
  <c r="I160" i="3"/>
  <c r="I167" i="3"/>
  <c r="I13" i="3"/>
  <c r="I23" i="3"/>
  <c r="I52" i="3"/>
  <c r="I57" i="3"/>
  <c r="I76" i="3"/>
  <c r="I113" i="3"/>
  <c r="I14" i="3"/>
  <c r="I26" i="3"/>
  <c r="I30" i="3"/>
  <c r="I34" i="3"/>
  <c r="I38" i="3"/>
  <c r="I42" i="3"/>
  <c r="I92" i="3"/>
  <c r="I108" i="3"/>
  <c r="I21" i="3"/>
  <c r="I132" i="3"/>
  <c r="I155" i="3"/>
  <c r="I8" i="3"/>
  <c r="I72" i="3"/>
  <c r="I80" i="3"/>
  <c r="I89" i="3"/>
  <c r="I116" i="3"/>
  <c r="I123" i="3"/>
  <c r="I140" i="3"/>
  <c r="I158" i="3"/>
  <c r="I163" i="3"/>
  <c r="I169" i="3"/>
  <c r="I85" i="3"/>
  <c r="I90" i="3"/>
  <c r="I100" i="3"/>
  <c r="I150" i="3"/>
  <c r="I121" i="3"/>
  <c r="I131" i="3"/>
  <c r="I145" i="3"/>
  <c r="I109" i="3"/>
  <c r="I119" i="3"/>
  <c r="I124" i="3"/>
  <c r="I143" i="3"/>
  <c r="I154" i="3"/>
  <c r="I161" i="3"/>
  <c r="I128" i="3"/>
  <c r="I133" i="3"/>
  <c r="I138" i="3"/>
  <c r="I152" i="3"/>
  <c r="I106" i="3"/>
  <c r="I110" i="3"/>
  <c r="I114" i="3"/>
  <c r="I118" i="3"/>
  <c r="I122" i="3"/>
  <c r="I164" i="3"/>
  <c r="I168" i="3"/>
  <c r="AG41" i="3"/>
  <c r="AG93" i="3"/>
  <c r="AG164" i="3"/>
  <c r="AG134" i="3"/>
  <c r="AG23" i="3"/>
  <c r="AG71" i="3"/>
  <c r="AG103" i="3"/>
  <c r="AG64" i="3"/>
  <c r="AG73" i="3"/>
  <c r="AG39" i="3"/>
  <c r="AG150" i="3"/>
  <c r="AG14" i="3"/>
  <c r="AG31" i="3"/>
  <c r="AG57" i="3"/>
  <c r="AG83" i="3"/>
  <c r="AG15" i="3"/>
  <c r="AG36" i="3"/>
  <c r="AG21" i="3"/>
  <c r="AG29" i="3"/>
  <c r="AG66" i="3"/>
  <c r="AG55" i="3"/>
  <c r="AG128" i="3"/>
  <c r="AG149" i="3"/>
  <c r="AG9" i="3"/>
  <c r="AG102" i="3"/>
  <c r="AG11" i="3"/>
  <c r="AG26" i="3"/>
  <c r="AG53" i="3"/>
  <c r="AG70" i="3"/>
  <c r="AG78" i="3"/>
  <c r="AG94" i="3"/>
  <c r="AG154" i="3"/>
  <c r="AG129" i="3"/>
  <c r="AG75" i="3"/>
  <c r="AG8" i="3"/>
  <c r="AG61" i="3"/>
  <c r="AG18" i="3"/>
  <c r="AG77" i="3"/>
  <c r="AG147" i="3"/>
  <c r="AG74" i="3"/>
  <c r="AG96" i="3"/>
  <c r="AG115" i="3"/>
  <c r="AG165" i="3"/>
  <c r="AG17" i="3"/>
  <c r="AG40" i="3"/>
  <c r="AG65" i="3"/>
  <c r="AG22" i="3"/>
  <c r="AG122" i="3"/>
  <c r="AG133" i="3"/>
  <c r="AG86" i="3"/>
  <c r="AG112" i="3"/>
  <c r="AG107" i="3"/>
  <c r="AG90" i="3"/>
  <c r="AG7" i="3"/>
  <c r="AG35" i="3"/>
  <c r="AG12" i="3"/>
  <c r="AG34" i="3"/>
  <c r="AG100" i="3"/>
  <c r="AG27" i="3"/>
  <c r="AG37" i="3"/>
  <c r="AG48" i="3"/>
  <c r="AG62" i="3"/>
  <c r="AG135" i="3"/>
  <c r="AG140" i="3"/>
  <c r="AG151" i="3"/>
  <c r="AG161" i="3"/>
  <c r="AG38" i="3"/>
  <c r="AG51" i="3"/>
  <c r="AG87" i="3"/>
  <c r="AG95" i="3"/>
  <c r="AG106" i="3"/>
  <c r="AG5" i="3"/>
  <c r="AG52" i="3"/>
  <c r="AG30" i="3"/>
  <c r="AG79" i="3"/>
  <c r="AG132" i="3"/>
  <c r="AG16" i="3"/>
  <c r="AG25" i="3"/>
  <c r="AG32" i="3"/>
  <c r="AG49" i="3"/>
  <c r="AG56" i="3"/>
  <c r="AG67" i="3"/>
  <c r="AG81" i="3"/>
  <c r="AG127" i="3"/>
  <c r="AG139" i="3"/>
  <c r="AG4" i="3"/>
  <c r="AG19" i="3"/>
  <c r="AG44" i="3"/>
  <c r="AG108" i="3"/>
  <c r="AG123" i="3"/>
  <c r="AG141" i="3"/>
  <c r="AG43" i="3"/>
  <c r="AG47" i="3"/>
  <c r="AG69" i="3"/>
  <c r="AG85" i="3"/>
  <c r="AG111" i="3"/>
  <c r="AG144" i="3"/>
  <c r="AG158" i="3"/>
  <c r="AG10" i="3"/>
  <c r="AG28" i="3"/>
  <c r="AG33" i="3"/>
  <c r="AG63" i="3"/>
  <c r="AG72" i="3"/>
  <c r="AG76" i="3"/>
  <c r="AG91" i="3"/>
  <c r="AG97" i="3"/>
  <c r="AG110" i="3"/>
  <c r="AG142" i="3"/>
  <c r="AG156" i="3"/>
  <c r="AG42" i="3"/>
  <c r="AG68" i="3"/>
  <c r="AG101" i="3"/>
  <c r="AG116" i="3"/>
  <c r="AG130" i="3"/>
  <c r="AG137" i="3"/>
  <c r="AG6" i="3"/>
  <c r="AG92" i="3"/>
  <c r="AG120" i="3"/>
  <c r="AG157" i="3"/>
  <c r="AG13" i="3"/>
  <c r="AG146" i="3"/>
  <c r="AG20" i="3"/>
  <c r="AG46" i="3"/>
  <c r="AG50" i="3"/>
  <c r="AG54" i="3"/>
  <c r="AG58" i="3"/>
  <c r="AG136" i="3"/>
  <c r="AG84" i="3"/>
  <c r="AG88" i="3"/>
  <c r="AG98" i="3"/>
  <c r="AG131" i="3"/>
  <c r="AG145" i="3"/>
  <c r="AG160" i="3"/>
  <c r="AG99" i="3"/>
  <c r="AG114" i="3"/>
  <c r="AG153" i="3"/>
  <c r="AG80" i="3"/>
  <c r="AG89" i="3"/>
  <c r="AG166" i="3"/>
  <c r="AG138" i="3"/>
  <c r="AG162" i="3"/>
  <c r="AG119" i="3"/>
  <c r="AG124" i="3"/>
  <c r="AG143" i="3"/>
  <c r="AG152" i="3"/>
  <c r="AG118" i="3"/>
  <c r="AG105" i="3"/>
  <c r="AG109" i="3"/>
  <c r="AG113" i="3"/>
  <c r="AG117" i="3"/>
  <c r="AG121" i="3"/>
  <c r="AG125" i="3"/>
  <c r="AG169" i="3"/>
  <c r="AG168" i="3"/>
  <c r="AG155" i="3"/>
  <c r="AG159" i="3"/>
  <c r="AG163" i="3"/>
  <c r="AG167" i="3"/>
  <c r="AV70" i="3"/>
  <c r="AV141" i="3"/>
  <c r="AV72" i="3"/>
  <c r="AV79" i="3"/>
  <c r="AV20" i="3"/>
  <c r="AV84" i="3"/>
  <c r="AV40" i="3"/>
  <c r="AV50" i="3"/>
  <c r="AV5" i="3"/>
  <c r="AV46" i="3"/>
  <c r="AV147" i="3"/>
  <c r="AV19" i="3"/>
  <c r="AV30" i="3"/>
  <c r="AV27" i="3"/>
  <c r="AV130" i="3"/>
  <c r="AV4" i="3"/>
  <c r="AV13" i="3"/>
  <c r="AV125" i="3"/>
  <c r="AV52" i="3"/>
  <c r="AV136" i="3"/>
  <c r="AV17" i="3"/>
  <c r="AV48" i="3"/>
  <c r="AV16" i="3"/>
  <c r="AV18" i="3"/>
  <c r="AV105" i="3"/>
  <c r="AV111" i="3"/>
  <c r="AV149" i="3"/>
  <c r="AV137" i="3"/>
  <c r="AV22" i="3"/>
  <c r="AV66" i="3"/>
  <c r="AV140" i="3"/>
  <c r="AV23" i="3"/>
  <c r="AV29" i="3"/>
  <c r="AV123" i="3"/>
  <c r="AV132" i="3"/>
  <c r="AV76" i="3"/>
  <c r="AV113" i="3"/>
  <c r="AV152" i="3"/>
  <c r="AV124" i="3"/>
  <c r="AV25" i="3"/>
  <c r="AV75" i="3"/>
  <c r="AV98" i="3"/>
  <c r="AV109" i="3"/>
  <c r="AV135" i="3"/>
  <c r="AV143" i="3"/>
  <c r="AV39" i="3"/>
  <c r="AV49" i="3"/>
  <c r="AV78" i="3"/>
  <c r="AV6" i="3"/>
  <c r="AV28" i="3"/>
  <c r="AV34" i="3"/>
  <c r="AV37" i="3"/>
  <c r="AV10" i="3"/>
  <c r="AV54" i="3"/>
  <c r="AV80" i="3"/>
  <c r="AV93" i="3"/>
  <c r="AV153" i="3"/>
  <c r="AV9" i="3"/>
  <c r="AV43" i="3"/>
  <c r="AV14" i="3"/>
  <c r="AV53" i="3"/>
  <c r="AV64" i="3"/>
  <c r="AV65" i="3"/>
  <c r="AV32" i="3"/>
  <c r="AV58" i="3"/>
  <c r="AV71" i="3"/>
  <c r="AV96" i="3"/>
  <c r="AV134" i="3"/>
  <c r="AV7" i="3"/>
  <c r="AV56" i="3"/>
  <c r="AV69" i="3"/>
  <c r="AV154" i="3"/>
  <c r="AV35" i="3"/>
  <c r="AV42" i="3"/>
  <c r="AV44" i="3"/>
  <c r="AV108" i="3"/>
  <c r="AV11" i="3"/>
  <c r="AV33" i="3"/>
  <c r="AV57" i="3"/>
  <c r="AV87" i="3"/>
  <c r="AV138" i="3"/>
  <c r="AV142" i="3"/>
  <c r="AV151" i="3"/>
  <c r="AV68" i="3"/>
  <c r="AV74" i="3"/>
  <c r="AV90" i="3"/>
  <c r="AV116" i="3"/>
  <c r="AV119" i="3"/>
  <c r="AV121" i="3"/>
  <c r="AV145" i="3"/>
  <c r="AV38" i="3"/>
  <c r="AV61" i="3"/>
  <c r="AV63" i="3"/>
  <c r="AV86" i="3"/>
  <c r="AV165" i="3"/>
  <c r="AV31" i="3"/>
  <c r="AV62" i="3"/>
  <c r="AV67" i="3"/>
  <c r="AV95" i="3"/>
  <c r="AV99" i="3"/>
  <c r="AV12" i="3"/>
  <c r="AV26" i="3"/>
  <c r="AV36" i="3"/>
  <c r="AV41" i="3"/>
  <c r="AV77" i="3"/>
  <c r="AV133" i="3"/>
  <c r="AV89" i="3"/>
  <c r="AV128" i="3"/>
  <c r="AV139" i="3"/>
  <c r="AV146" i="3"/>
  <c r="AV166" i="3"/>
  <c r="AV21" i="3"/>
  <c r="AV73" i="3"/>
  <c r="AV88" i="3"/>
  <c r="AV100" i="3"/>
  <c r="AV129" i="3"/>
  <c r="AV155" i="3"/>
  <c r="AV8" i="3"/>
  <c r="AV83" i="3"/>
  <c r="AV97" i="3"/>
  <c r="AV15" i="3"/>
  <c r="AV47" i="3"/>
  <c r="AV51" i="3"/>
  <c r="AV55" i="3"/>
  <c r="AV94" i="3"/>
  <c r="AV85" i="3"/>
  <c r="AV91" i="3"/>
  <c r="AV101" i="3"/>
  <c r="AV103" i="3"/>
  <c r="AV115" i="3"/>
  <c r="AV127" i="3"/>
  <c r="AV102" i="3"/>
  <c r="AV163" i="3"/>
  <c r="AV81" i="3"/>
  <c r="AV92" i="3"/>
  <c r="AV120" i="3"/>
  <c r="AV144" i="3"/>
  <c r="AV107" i="3"/>
  <c r="AV112" i="3"/>
  <c r="AV117" i="3"/>
  <c r="AV131" i="3"/>
  <c r="AV158" i="3"/>
  <c r="AV159" i="3"/>
  <c r="AV161" i="3"/>
  <c r="AV169" i="3"/>
  <c r="AV106" i="3"/>
  <c r="AV110" i="3"/>
  <c r="AV114" i="3"/>
  <c r="AV118" i="3"/>
  <c r="AV122" i="3"/>
  <c r="AV150" i="3"/>
  <c r="AV157" i="3"/>
  <c r="AV162" i="3"/>
  <c r="AV167" i="3"/>
  <c r="AV156" i="3"/>
  <c r="AV160" i="3"/>
  <c r="AV164" i="3"/>
  <c r="AV168" i="3"/>
  <c r="F69" i="3"/>
  <c r="F64" i="3"/>
  <c r="F112" i="3"/>
  <c r="F74" i="3"/>
  <c r="F145" i="3"/>
  <c r="F166" i="3"/>
  <c r="F75" i="3"/>
  <c r="F41" i="3"/>
  <c r="F20" i="3"/>
  <c r="F55" i="3"/>
  <c r="F57" i="3"/>
  <c r="F162" i="3"/>
  <c r="F127" i="3"/>
  <c r="F167" i="3"/>
  <c r="F8" i="3"/>
  <c r="F99" i="3"/>
  <c r="F120" i="3"/>
  <c r="F50" i="3"/>
  <c r="F76" i="3"/>
  <c r="F71" i="3"/>
  <c r="F90" i="3"/>
  <c r="F54" i="3"/>
  <c r="F27" i="3"/>
  <c r="F23" i="3"/>
  <c r="F130" i="3"/>
  <c r="F79" i="3"/>
  <c r="F157" i="3"/>
  <c r="F39" i="3"/>
  <c r="F46" i="3"/>
  <c r="F131" i="3"/>
  <c r="F115" i="3"/>
  <c r="F14" i="3"/>
  <c r="F118" i="3"/>
  <c r="F86" i="3"/>
  <c r="F35" i="3"/>
  <c r="F135" i="3"/>
  <c r="F6" i="3"/>
  <c r="F117" i="3"/>
  <c r="F129" i="3"/>
  <c r="F164" i="3"/>
  <c r="F22" i="3"/>
  <c r="F139" i="3"/>
  <c r="F150" i="3"/>
  <c r="F141" i="3"/>
  <c r="F102" i="3"/>
  <c r="F103" i="3"/>
  <c r="F91" i="3"/>
  <c r="F28" i="3"/>
  <c r="F68" i="3"/>
  <c r="F17" i="3"/>
  <c r="F165" i="3"/>
  <c r="F85" i="3"/>
  <c r="F42" i="3"/>
  <c r="F87" i="3"/>
  <c r="F152" i="3"/>
  <c r="F10" i="3"/>
  <c r="F53" i="3"/>
  <c r="F134" i="3"/>
  <c r="F153" i="3"/>
  <c r="F66" i="3"/>
  <c r="F83" i="3"/>
  <c r="F34" i="3"/>
  <c r="F116" i="3"/>
  <c r="F61" i="3"/>
  <c r="F123" i="3"/>
  <c r="F124" i="3"/>
  <c r="F72" i="3"/>
  <c r="F11" i="3"/>
  <c r="F119" i="3"/>
  <c r="F122" i="3"/>
  <c r="F94" i="3"/>
  <c r="F125" i="3"/>
  <c r="F89" i="3"/>
  <c r="F146" i="3"/>
  <c r="F4" i="3"/>
  <c r="F140" i="3"/>
  <c r="F13" i="3"/>
  <c r="F154" i="3"/>
  <c r="F107" i="3"/>
  <c r="F84" i="3"/>
  <c r="F142" i="3"/>
  <c r="F80" i="3"/>
  <c r="F73" i="3"/>
  <c r="F106" i="3"/>
  <c r="F33" i="3"/>
  <c r="F138" i="3"/>
  <c r="F101" i="3"/>
  <c r="F156" i="3"/>
  <c r="F40" i="3"/>
  <c r="F21" i="3"/>
  <c r="F88" i="3"/>
  <c r="F67" i="3"/>
  <c r="F77" i="3"/>
  <c r="F25" i="3"/>
  <c r="F7" i="3"/>
  <c r="F47" i="3"/>
  <c r="F132" i="3"/>
  <c r="F26" i="3"/>
  <c r="F5" i="3"/>
  <c r="F65" i="3"/>
  <c r="F144" i="3"/>
  <c r="F48" i="3"/>
  <c r="F100" i="3"/>
  <c r="F121" i="3"/>
  <c r="F151" i="3"/>
  <c r="F137" i="3"/>
  <c r="F109" i="3"/>
  <c r="F147" i="3"/>
  <c r="F96" i="3"/>
  <c r="F63" i="3"/>
  <c r="F114" i="3"/>
  <c r="F128" i="3"/>
  <c r="F105" i="3"/>
  <c r="F136" i="3"/>
  <c r="F168" i="3"/>
  <c r="F56" i="3"/>
  <c r="F36" i="3"/>
  <c r="F143" i="3"/>
  <c r="F95" i="3"/>
  <c r="F108" i="3"/>
  <c r="F31" i="3"/>
  <c r="F29" i="3"/>
  <c r="F51" i="3"/>
  <c r="F111" i="3"/>
  <c r="F16" i="3"/>
  <c r="F97" i="3"/>
  <c r="F92" i="3"/>
  <c r="F159" i="3"/>
  <c r="F30" i="3"/>
  <c r="F19" i="3"/>
  <c r="F9" i="3"/>
  <c r="F163" i="3"/>
  <c r="F70" i="3"/>
  <c r="F149" i="3"/>
  <c r="F58" i="3"/>
  <c r="F18" i="3"/>
  <c r="F169" i="3"/>
  <c r="F49" i="3"/>
  <c r="F155" i="3"/>
  <c r="F43" i="3"/>
  <c r="F52" i="3"/>
  <c r="F15" i="3"/>
  <c r="F98" i="3"/>
  <c r="F37" i="3"/>
  <c r="F113" i="3"/>
  <c r="F110" i="3"/>
  <c r="F161" i="3"/>
  <c r="F38" i="3"/>
  <c r="F93" i="3"/>
  <c r="F32" i="3"/>
  <c r="F160" i="3"/>
  <c r="F133" i="3"/>
  <c r="F81" i="3"/>
  <c r="F12" i="3"/>
  <c r="F78" i="3"/>
  <c r="F44" i="3"/>
  <c r="F158" i="3"/>
  <c r="F62" i="3"/>
  <c r="AN85" i="3"/>
  <c r="AN55" i="3"/>
  <c r="AN84" i="3"/>
  <c r="AN31" i="3"/>
  <c r="AN26" i="3"/>
  <c r="AN39" i="3"/>
  <c r="AN51" i="3"/>
  <c r="AN27" i="3"/>
  <c r="AN162" i="3"/>
  <c r="AN56" i="3"/>
  <c r="AN130" i="3"/>
  <c r="AN94" i="3"/>
  <c r="AN6" i="3"/>
  <c r="AN152" i="3"/>
  <c r="AN81" i="3"/>
  <c r="AN78" i="3"/>
  <c r="AN72" i="3"/>
  <c r="AN50" i="3"/>
  <c r="AN129" i="3"/>
  <c r="AN52" i="3"/>
  <c r="AN119" i="3"/>
  <c r="AN158" i="3"/>
  <c r="AN16" i="3"/>
  <c r="AN38" i="3"/>
  <c r="AN127" i="3"/>
  <c r="AN114" i="3"/>
  <c r="AN25" i="3"/>
  <c r="AN48" i="3"/>
  <c r="AN5" i="3"/>
  <c r="AN54" i="3"/>
  <c r="AN122" i="3"/>
  <c r="AN143" i="3"/>
  <c r="AN33" i="3"/>
  <c r="AN66" i="3"/>
  <c r="AN75" i="3"/>
  <c r="AN68" i="3"/>
  <c r="AN109" i="3"/>
  <c r="AN62" i="3"/>
  <c r="AN53" i="3"/>
  <c r="AN80" i="3"/>
  <c r="AN131" i="3"/>
  <c r="AN30" i="3"/>
  <c r="AN37" i="3"/>
  <c r="AN156" i="3"/>
  <c r="AN76" i="3"/>
  <c r="AN146" i="3"/>
  <c r="AN145" i="3"/>
  <c r="AN86" i="3"/>
  <c r="AN71" i="3"/>
  <c r="AN103" i="3"/>
  <c r="AN10" i="3"/>
  <c r="AN63" i="3"/>
  <c r="AN58" i="3"/>
  <c r="AN67" i="3"/>
  <c r="AN98" i="3"/>
  <c r="AN115" i="3"/>
  <c r="AN157" i="3"/>
  <c r="AN167" i="3"/>
  <c r="AN21" i="3"/>
  <c r="AN57" i="3"/>
  <c r="AN99" i="3"/>
  <c r="AN133" i="3"/>
  <c r="AN165" i="3"/>
  <c r="AN168" i="3"/>
  <c r="AN43" i="3"/>
  <c r="AN164" i="3"/>
  <c r="AN169" i="3"/>
  <c r="AN139" i="3"/>
  <c r="AN141" i="3"/>
  <c r="AN8" i="3"/>
  <c r="AN42" i="3"/>
  <c r="AN79" i="3"/>
  <c r="AN35" i="3"/>
  <c r="AN47" i="3"/>
  <c r="AN123" i="3"/>
  <c r="AN13" i="3"/>
  <c r="AN20" i="3"/>
  <c r="AN22" i="3"/>
  <c r="AN77" i="3"/>
  <c r="AN102" i="3"/>
  <c r="AN9" i="3"/>
  <c r="AN15" i="3"/>
  <c r="AN18" i="3"/>
  <c r="AN19" i="3"/>
  <c r="AN23" i="3"/>
  <c r="AN49" i="3"/>
  <c r="AN113" i="3"/>
  <c r="AN7" i="3"/>
  <c r="AN74" i="3"/>
  <c r="AN91" i="3"/>
  <c r="AN137" i="3"/>
  <c r="AN12" i="3"/>
  <c r="AN41" i="3"/>
  <c r="AN46" i="3"/>
  <c r="AN88" i="3"/>
  <c r="AN92" i="3"/>
  <c r="AN64" i="3"/>
  <c r="AN147" i="3"/>
  <c r="AN70" i="3"/>
  <c r="AN105" i="3"/>
  <c r="AN163" i="3"/>
  <c r="AN14" i="3"/>
  <c r="AN29" i="3"/>
  <c r="AN34" i="3"/>
  <c r="AN90" i="3"/>
  <c r="AN106" i="3"/>
  <c r="AN138" i="3"/>
  <c r="AN73" i="3"/>
  <c r="AN100" i="3"/>
  <c r="AN117" i="3"/>
  <c r="AN17" i="3"/>
  <c r="AN61" i="3"/>
  <c r="AN65" i="3"/>
  <c r="AN69" i="3"/>
  <c r="AN107" i="3"/>
  <c r="AN134" i="3"/>
  <c r="AN4" i="3"/>
  <c r="AN28" i="3"/>
  <c r="AN32" i="3"/>
  <c r="AN36" i="3"/>
  <c r="AN40" i="3"/>
  <c r="AN44" i="3"/>
  <c r="AN96" i="3"/>
  <c r="AN11" i="3"/>
  <c r="AN121" i="3"/>
  <c r="AN95" i="3"/>
  <c r="AN118" i="3"/>
  <c r="AN142" i="3"/>
  <c r="AN83" i="3"/>
  <c r="AN87" i="3"/>
  <c r="AN151" i="3"/>
  <c r="AN89" i="3"/>
  <c r="AN93" i="3"/>
  <c r="AN97" i="3"/>
  <c r="AN101" i="3"/>
  <c r="AN111" i="3"/>
  <c r="AN135" i="3"/>
  <c r="AN149" i="3"/>
  <c r="AN110" i="3"/>
  <c r="AN125" i="3"/>
  <c r="AN128" i="3"/>
  <c r="AN132" i="3"/>
  <c r="AN136" i="3"/>
  <c r="AN140" i="3"/>
  <c r="AN144" i="3"/>
  <c r="AN166" i="3"/>
  <c r="AN108" i="3"/>
  <c r="AN112" i="3"/>
  <c r="AN116" i="3"/>
  <c r="AN120" i="3"/>
  <c r="AN124" i="3"/>
  <c r="AN153" i="3"/>
  <c r="AN159" i="3"/>
  <c r="AN161" i="3"/>
  <c r="AN150" i="3"/>
  <c r="AN154" i="3"/>
  <c r="AN155" i="3"/>
  <c r="AN160" i="3"/>
  <c r="AZ35" i="3"/>
  <c r="AZ11" i="3"/>
  <c r="AZ94" i="3"/>
  <c r="AZ93" i="3"/>
  <c r="AZ131" i="3"/>
  <c r="AZ87" i="3"/>
  <c r="AZ69" i="3"/>
  <c r="AZ36" i="3"/>
  <c r="AZ143" i="3"/>
  <c r="AZ121" i="3"/>
  <c r="AZ135" i="3"/>
  <c r="AZ164" i="3"/>
  <c r="AZ96" i="3"/>
  <c r="AZ10" i="3"/>
  <c r="AZ5" i="3"/>
  <c r="AZ86" i="3"/>
  <c r="AZ19" i="3"/>
  <c r="AZ30" i="3"/>
  <c r="AZ102" i="3"/>
  <c r="AZ97" i="3"/>
  <c r="AZ18" i="3"/>
  <c r="AZ107" i="3"/>
  <c r="AZ31" i="3"/>
  <c r="AZ141" i="3"/>
  <c r="AZ21" i="3"/>
  <c r="AZ57" i="3"/>
  <c r="AZ137" i="3"/>
  <c r="AZ42" i="3"/>
  <c r="AZ133" i="3"/>
  <c r="AZ132" i="3"/>
  <c r="AZ166" i="3"/>
  <c r="AZ110" i="3"/>
  <c r="AZ61" i="3"/>
  <c r="AZ29" i="3"/>
  <c r="AZ95" i="3"/>
  <c r="AZ74" i="3"/>
  <c r="AZ12" i="3"/>
  <c r="AZ64" i="3"/>
  <c r="AZ66" i="3"/>
  <c r="AZ47" i="3"/>
  <c r="AZ78" i="3"/>
  <c r="AZ106" i="3"/>
  <c r="AZ162" i="3"/>
  <c r="AZ75" i="3"/>
  <c r="AZ88" i="3"/>
  <c r="AZ4" i="3"/>
  <c r="AZ41" i="3"/>
  <c r="AZ53" i="3"/>
  <c r="AZ105" i="3"/>
  <c r="AZ109" i="3"/>
  <c r="AZ145" i="3"/>
  <c r="AZ62" i="3"/>
  <c r="AZ8" i="3"/>
  <c r="AZ15" i="3"/>
  <c r="AZ44" i="3"/>
  <c r="AZ49" i="3"/>
  <c r="AZ101" i="3"/>
  <c r="AZ22" i="3"/>
  <c r="AZ38" i="3"/>
  <c r="AZ73" i="3"/>
  <c r="AZ39" i="3"/>
  <c r="AZ154" i="3"/>
  <c r="AZ25" i="3"/>
  <c r="AZ43" i="3"/>
  <c r="AZ48" i="3"/>
  <c r="AZ91" i="3"/>
  <c r="AZ136" i="3"/>
  <c r="AZ34" i="3"/>
  <c r="AZ79" i="3"/>
  <c r="AZ112" i="3"/>
  <c r="AZ144" i="3"/>
  <c r="AZ33" i="3"/>
  <c r="AZ56" i="3"/>
  <c r="AZ68" i="3"/>
  <c r="AZ92" i="3"/>
  <c r="AZ120" i="3"/>
  <c r="AZ160" i="3"/>
  <c r="AZ6" i="3"/>
  <c r="AZ14" i="3"/>
  <c r="AZ40" i="3"/>
  <c r="AZ65" i="3"/>
  <c r="AZ83" i="3"/>
  <c r="AZ161" i="3"/>
  <c r="AZ55" i="3"/>
  <c r="AZ70" i="3"/>
  <c r="AZ156" i="3"/>
  <c r="AZ17" i="3"/>
  <c r="AZ23" i="3"/>
  <c r="AZ28" i="3"/>
  <c r="AZ52" i="3"/>
  <c r="AZ77" i="3"/>
  <c r="AZ85" i="3"/>
  <c r="AZ99" i="3"/>
  <c r="AZ111" i="3"/>
  <c r="AZ119" i="3"/>
  <c r="AZ27" i="3"/>
  <c r="AZ51" i="3"/>
  <c r="AZ81" i="3"/>
  <c r="AZ98" i="3"/>
  <c r="AZ125" i="3"/>
  <c r="AZ16" i="3"/>
  <c r="AZ32" i="3"/>
  <c r="AZ37" i="3"/>
  <c r="AZ118" i="3"/>
  <c r="AZ150" i="3"/>
  <c r="AZ157" i="3"/>
  <c r="AZ9" i="3"/>
  <c r="AZ26" i="3"/>
  <c r="AZ114" i="3"/>
  <c r="AZ13" i="3"/>
  <c r="AZ115" i="3"/>
  <c r="AZ20" i="3"/>
  <c r="AZ46" i="3"/>
  <c r="AZ50" i="3"/>
  <c r="AZ54" i="3"/>
  <c r="AZ58" i="3"/>
  <c r="AZ71" i="3"/>
  <c r="AZ84" i="3"/>
  <c r="AZ116" i="3"/>
  <c r="AZ128" i="3"/>
  <c r="AZ7" i="3"/>
  <c r="AZ63" i="3"/>
  <c r="AZ67" i="3"/>
  <c r="AZ72" i="3"/>
  <c r="AZ140" i="3"/>
  <c r="AZ89" i="3"/>
  <c r="AZ129" i="3"/>
  <c r="AZ149" i="3"/>
  <c r="AZ76" i="3"/>
  <c r="AZ80" i="3"/>
  <c r="AZ117" i="3"/>
  <c r="AZ124" i="3"/>
  <c r="AZ90" i="3"/>
  <c r="AZ100" i="3"/>
  <c r="AZ103" i="3"/>
  <c r="AZ139" i="3"/>
  <c r="AZ169" i="3"/>
  <c r="AZ168" i="3"/>
  <c r="AZ108" i="3"/>
  <c r="AZ113" i="3"/>
  <c r="AZ123" i="3"/>
  <c r="AZ127" i="3"/>
  <c r="AZ147" i="3"/>
  <c r="AZ122" i="3"/>
  <c r="AZ153" i="3"/>
  <c r="AZ151" i="3"/>
  <c r="AZ130" i="3"/>
  <c r="AZ134" i="3"/>
  <c r="AZ138" i="3"/>
  <c r="AZ142" i="3"/>
  <c r="AZ146" i="3"/>
  <c r="AZ165" i="3"/>
  <c r="AZ158" i="3"/>
  <c r="AZ152" i="3"/>
  <c r="AZ155" i="3"/>
  <c r="AZ159" i="3"/>
  <c r="AZ163" i="3"/>
  <c r="AZ167" i="3"/>
  <c r="AX44" i="3"/>
  <c r="AX164" i="3"/>
  <c r="AX12" i="3"/>
  <c r="AX97" i="3"/>
  <c r="AX83" i="3"/>
  <c r="AX98" i="3"/>
  <c r="AX36" i="3"/>
  <c r="AX121" i="3"/>
  <c r="AX94" i="3"/>
  <c r="AX117" i="3"/>
  <c r="AX5" i="3"/>
  <c r="AX35" i="3"/>
  <c r="AX141" i="3"/>
  <c r="AX163" i="3"/>
  <c r="AX125" i="3"/>
  <c r="AX37" i="3"/>
  <c r="AX123" i="3"/>
  <c r="AX136" i="3"/>
  <c r="AX65" i="3"/>
  <c r="AX66" i="3"/>
  <c r="AX159" i="3"/>
  <c r="AX27" i="3"/>
  <c r="AX40" i="3"/>
  <c r="AX64" i="3"/>
  <c r="AX13" i="3"/>
  <c r="AX149" i="3"/>
  <c r="AX133" i="3"/>
  <c r="AX29" i="3"/>
  <c r="AX16" i="3"/>
  <c r="AX18" i="3"/>
  <c r="AX69" i="3"/>
  <c r="AX154" i="3"/>
  <c r="AX4" i="3"/>
  <c r="AX41" i="3"/>
  <c r="AX105" i="3"/>
  <c r="AX113" i="3"/>
  <c r="AX8" i="3"/>
  <c r="AX51" i="3"/>
  <c r="AX39" i="3"/>
  <c r="AX49" i="3"/>
  <c r="AX61" i="3"/>
  <c r="AX143" i="3"/>
  <c r="AX47" i="3"/>
  <c r="AX81" i="3"/>
  <c r="AX53" i="3"/>
  <c r="AX145" i="3"/>
  <c r="AX107" i="3"/>
  <c r="AX135" i="3"/>
  <c r="AX25" i="3"/>
  <c r="AX48" i="3"/>
  <c r="AX70" i="3"/>
  <c r="AX116" i="3"/>
  <c r="AX10" i="3"/>
  <c r="AX54" i="3"/>
  <c r="AX168" i="3"/>
  <c r="AX89" i="3"/>
  <c r="AX93" i="3"/>
  <c r="AX68" i="3"/>
  <c r="AX80" i="3"/>
  <c r="AX120" i="3"/>
  <c r="AX160" i="3"/>
  <c r="AX6" i="3"/>
  <c r="AX43" i="3"/>
  <c r="AX74" i="3"/>
  <c r="AX78" i="3"/>
  <c r="AX144" i="3"/>
  <c r="AX32" i="3"/>
  <c r="AX58" i="3"/>
  <c r="AX71" i="3"/>
  <c r="AX96" i="3"/>
  <c r="AX150" i="3"/>
  <c r="AX17" i="3"/>
  <c r="AX23" i="3"/>
  <c r="AX28" i="3"/>
  <c r="AX50" i="3"/>
  <c r="AX52" i="3"/>
  <c r="AX77" i="3"/>
  <c r="AX84" i="3"/>
  <c r="AX111" i="3"/>
  <c r="AX124" i="3"/>
  <c r="AX20" i="3"/>
  <c r="AX76" i="3"/>
  <c r="AX102" i="3"/>
  <c r="AX109" i="3"/>
  <c r="AX112" i="3"/>
  <c r="AX128" i="3"/>
  <c r="AX11" i="3"/>
  <c r="AX33" i="3"/>
  <c r="AX57" i="3"/>
  <c r="AX87" i="3"/>
  <c r="AX151" i="3"/>
  <c r="AX166" i="3"/>
  <c r="AX9" i="3"/>
  <c r="AX108" i="3"/>
  <c r="AX147" i="3"/>
  <c r="AX19" i="3"/>
  <c r="AX22" i="3"/>
  <c r="AX46" i="3"/>
  <c r="AX56" i="3"/>
  <c r="AX75" i="3"/>
  <c r="AX86" i="3"/>
  <c r="AX92" i="3"/>
  <c r="AX119" i="3"/>
  <c r="AX161" i="3"/>
  <c r="AX15" i="3"/>
  <c r="AX31" i="3"/>
  <c r="AX55" i="3"/>
  <c r="AX62" i="3"/>
  <c r="AX7" i="3"/>
  <c r="AX63" i="3"/>
  <c r="AX67" i="3"/>
  <c r="AX140" i="3"/>
  <c r="AX14" i="3"/>
  <c r="AX26" i="3"/>
  <c r="AX30" i="3"/>
  <c r="AX34" i="3"/>
  <c r="AX38" i="3"/>
  <c r="AX42" i="3"/>
  <c r="AX72" i="3"/>
  <c r="AX79" i="3"/>
  <c r="AX131" i="3"/>
  <c r="AX21" i="3"/>
  <c r="AX73" i="3"/>
  <c r="AX88" i="3"/>
  <c r="AX129" i="3"/>
  <c r="AX155" i="3"/>
  <c r="AX90" i="3"/>
  <c r="AX100" i="3"/>
  <c r="AX139" i="3"/>
  <c r="AX158" i="3"/>
  <c r="AX169" i="3"/>
  <c r="AX85" i="3"/>
  <c r="AX101" i="3"/>
  <c r="AX106" i="3"/>
  <c r="AX115" i="3"/>
  <c r="AX127" i="3"/>
  <c r="AX91" i="3"/>
  <c r="AX95" i="3"/>
  <c r="AX99" i="3"/>
  <c r="AX103" i="3"/>
  <c r="AX153" i="3"/>
  <c r="AX132" i="3"/>
  <c r="AX137" i="3"/>
  <c r="AX130" i="3"/>
  <c r="AX134" i="3"/>
  <c r="AX138" i="3"/>
  <c r="AX142" i="3"/>
  <c r="AX146" i="3"/>
  <c r="AX165" i="3"/>
  <c r="AX110" i="3"/>
  <c r="AX114" i="3"/>
  <c r="AX118" i="3"/>
  <c r="AX122" i="3"/>
  <c r="AX156" i="3"/>
  <c r="AX152" i="3"/>
  <c r="AX157" i="3"/>
  <c r="AX162" i="3"/>
  <c r="AX167" i="3"/>
  <c r="Y84" i="3"/>
  <c r="Y32" i="3"/>
  <c r="Y142" i="3"/>
  <c r="Y58" i="3"/>
  <c r="Y114" i="3"/>
  <c r="Y125" i="3"/>
  <c r="Y95" i="3"/>
  <c r="Y158" i="3"/>
  <c r="Y57" i="3"/>
  <c r="Y89" i="3"/>
  <c r="Y51" i="3"/>
  <c r="Y66" i="3"/>
  <c r="Y15" i="3"/>
  <c r="Y30" i="3"/>
  <c r="Y108" i="3"/>
  <c r="Y63" i="3"/>
  <c r="Y6" i="3"/>
  <c r="Y21" i="3"/>
  <c r="Y47" i="3"/>
  <c r="Y106" i="3"/>
  <c r="Y118" i="3"/>
  <c r="Y53" i="3"/>
  <c r="Y99" i="3"/>
  <c r="Y44" i="3"/>
  <c r="Y69" i="3"/>
  <c r="Y80" i="3"/>
  <c r="Y10" i="3"/>
  <c r="Y168" i="3"/>
  <c r="Y34" i="3"/>
  <c r="Y37" i="3"/>
  <c r="Y76" i="3"/>
  <c r="Y19" i="3"/>
  <c r="Y166" i="3"/>
  <c r="Y61" i="3"/>
  <c r="Y8" i="3"/>
  <c r="Y49" i="3"/>
  <c r="Y85" i="3"/>
  <c r="Y48" i="3"/>
  <c r="Y116" i="3"/>
  <c r="Y138" i="3"/>
  <c r="Y7" i="3"/>
  <c r="Y25" i="3"/>
  <c r="Y161" i="3"/>
  <c r="Y79" i="3"/>
  <c r="Y38" i="3"/>
  <c r="Y5" i="3"/>
  <c r="Y18" i="3"/>
  <c r="Y46" i="3"/>
  <c r="Y87" i="3"/>
  <c r="Y13" i="3"/>
  <c r="Y29" i="3"/>
  <c r="Y72" i="3"/>
  <c r="Y77" i="3"/>
  <c r="Y129" i="3"/>
  <c r="Y133" i="3"/>
  <c r="Y4" i="3"/>
  <c r="Y128" i="3"/>
  <c r="Y11" i="3"/>
  <c r="Y90" i="3"/>
  <c r="Y163" i="3"/>
  <c r="Y56" i="3"/>
  <c r="Y71" i="3"/>
  <c r="Y33" i="3"/>
  <c r="Y78" i="3"/>
  <c r="Y130" i="3"/>
  <c r="Y132" i="3"/>
  <c r="Y40" i="3"/>
  <c r="Y55" i="3"/>
  <c r="Y65" i="3"/>
  <c r="Y101" i="3"/>
  <c r="Y54" i="3"/>
  <c r="Y109" i="3"/>
  <c r="Y164" i="3"/>
  <c r="Y94" i="3"/>
  <c r="Y145" i="3"/>
  <c r="Y42" i="3"/>
  <c r="Y70" i="3"/>
  <c r="Y144" i="3"/>
  <c r="Y17" i="3"/>
  <c r="Y23" i="3"/>
  <c r="Y28" i="3"/>
  <c r="Y50" i="3"/>
  <c r="Y52" i="3"/>
  <c r="Y73" i="3"/>
  <c r="Y14" i="3"/>
  <c r="Y20" i="3"/>
  <c r="Y62" i="3"/>
  <c r="Y67" i="3"/>
  <c r="Y75" i="3"/>
  <c r="Y98" i="3"/>
  <c r="Y121" i="3"/>
  <c r="Y12" i="3"/>
  <c r="Y26" i="3"/>
  <c r="Y36" i="3"/>
  <c r="Y41" i="3"/>
  <c r="Y141" i="3"/>
  <c r="Y151" i="3"/>
  <c r="Y81" i="3"/>
  <c r="Y120" i="3"/>
  <c r="Y136" i="3"/>
  <c r="Y140" i="3"/>
  <c r="Y154" i="3"/>
  <c r="Y169" i="3"/>
  <c r="Y22" i="3"/>
  <c r="Y64" i="3"/>
  <c r="Y68" i="3"/>
  <c r="Y91" i="3"/>
  <c r="Y113" i="3"/>
  <c r="Y152" i="3"/>
  <c r="Y9" i="3"/>
  <c r="Y27" i="3"/>
  <c r="Y31" i="3"/>
  <c r="Y35" i="3"/>
  <c r="Y39" i="3"/>
  <c r="Y43" i="3"/>
  <c r="Y74" i="3"/>
  <c r="Y83" i="3"/>
  <c r="Y88" i="3"/>
  <c r="Y103" i="3"/>
  <c r="Y137" i="3"/>
  <c r="Y156" i="3"/>
  <c r="Y16" i="3"/>
  <c r="Y97" i="3"/>
  <c r="Y102" i="3"/>
  <c r="Y124" i="3"/>
  <c r="Y146" i="3"/>
  <c r="Y110" i="3"/>
  <c r="Y134" i="3"/>
  <c r="Y86" i="3"/>
  <c r="Y93" i="3"/>
  <c r="Y159" i="3"/>
  <c r="Y92" i="3"/>
  <c r="Y96" i="3"/>
  <c r="Y100" i="3"/>
  <c r="Y112" i="3"/>
  <c r="Y117" i="3"/>
  <c r="Y122" i="3"/>
  <c r="Y155" i="3"/>
  <c r="Y105" i="3"/>
  <c r="Y127" i="3"/>
  <c r="Y131" i="3"/>
  <c r="Y135" i="3"/>
  <c r="Y139" i="3"/>
  <c r="Y143" i="3"/>
  <c r="Y147" i="3"/>
  <c r="Y160" i="3"/>
  <c r="Y150" i="3"/>
  <c r="Y165" i="3"/>
  <c r="Y107" i="3"/>
  <c r="Y111" i="3"/>
  <c r="Y115" i="3"/>
  <c r="Y119" i="3"/>
  <c r="Y123" i="3"/>
  <c r="Y149" i="3"/>
  <c r="Y153" i="3"/>
  <c r="Y157" i="3"/>
  <c r="Y162" i="3"/>
  <c r="Y167" i="3"/>
  <c r="G5" i="3"/>
  <c r="G120" i="3"/>
  <c r="G35" i="3"/>
  <c r="G34" i="3"/>
  <c r="G48" i="3"/>
  <c r="G115" i="3"/>
  <c r="G146" i="3"/>
  <c r="G29" i="3"/>
  <c r="G166" i="3"/>
  <c r="G67" i="3"/>
  <c r="G141" i="3"/>
  <c r="G30" i="3"/>
  <c r="G62" i="3"/>
  <c r="G74" i="3"/>
  <c r="G54" i="3"/>
  <c r="G169" i="3"/>
  <c r="G39" i="3"/>
  <c r="G79" i="3"/>
  <c r="G46" i="3"/>
  <c r="G7" i="3"/>
  <c r="G10" i="3"/>
  <c r="G20" i="3"/>
  <c r="G40" i="3"/>
  <c r="G100" i="3"/>
  <c r="G103" i="3"/>
  <c r="G83" i="3"/>
  <c r="G28" i="3"/>
  <c r="G116" i="3"/>
  <c r="G144" i="3"/>
  <c r="G50" i="3"/>
  <c r="G78" i="3"/>
  <c r="G132" i="3"/>
  <c r="G102" i="3"/>
  <c r="G86" i="3"/>
  <c r="G71" i="3"/>
  <c r="G167" i="3"/>
  <c r="G6" i="3"/>
  <c r="G70" i="3"/>
  <c r="G99" i="3"/>
  <c r="G129" i="3"/>
  <c r="G155" i="3"/>
  <c r="G41" i="3"/>
  <c r="G154" i="3"/>
  <c r="G66" i="3"/>
  <c r="G33" i="3"/>
  <c r="G65" i="3"/>
  <c r="G136" i="3"/>
  <c r="G38" i="3"/>
  <c r="G58" i="3"/>
  <c r="G85" i="3"/>
  <c r="G87" i="3"/>
  <c r="G114" i="3"/>
  <c r="G161" i="3"/>
  <c r="G43" i="3"/>
  <c r="G31" i="3"/>
  <c r="G53" i="3"/>
  <c r="G137" i="3"/>
  <c r="G9" i="3"/>
  <c r="G61" i="3"/>
  <c r="G152" i="3"/>
  <c r="G18" i="3"/>
  <c r="G36" i="3"/>
  <c r="G125" i="3"/>
  <c r="G11" i="3"/>
  <c r="G12" i="3"/>
  <c r="G14" i="3"/>
  <c r="G17" i="3"/>
  <c r="G21" i="3"/>
  <c r="G26" i="3"/>
  <c r="G75" i="3"/>
  <c r="G112" i="3"/>
  <c r="G117" i="3"/>
  <c r="G122" i="3"/>
  <c r="G157" i="3"/>
  <c r="G4" i="3"/>
  <c r="G88" i="3"/>
  <c r="G90" i="3"/>
  <c r="G25" i="3"/>
  <c r="G49" i="3"/>
  <c r="G56" i="3"/>
  <c r="G69" i="3"/>
  <c r="G92" i="3"/>
  <c r="G140" i="3"/>
  <c r="G19" i="3"/>
  <c r="G44" i="3"/>
  <c r="G93" i="3"/>
  <c r="G94" i="3"/>
  <c r="G96" i="3"/>
  <c r="G130" i="3"/>
  <c r="G13" i="3"/>
  <c r="G23" i="3"/>
  <c r="G52" i="3"/>
  <c r="G57" i="3"/>
  <c r="G76" i="3"/>
  <c r="G150" i="3"/>
  <c r="G27" i="3"/>
  <c r="G63" i="3"/>
  <c r="G105" i="3"/>
  <c r="G106" i="3"/>
  <c r="G124" i="3"/>
  <c r="G16" i="3"/>
  <c r="G32" i="3"/>
  <c r="G37" i="3"/>
  <c r="G42" i="3"/>
  <c r="G97" i="3"/>
  <c r="G107" i="3"/>
  <c r="G165" i="3"/>
  <c r="G8" i="3"/>
  <c r="G72" i="3"/>
  <c r="G80" i="3"/>
  <c r="G89" i="3"/>
  <c r="G15" i="3"/>
  <c r="G47" i="3"/>
  <c r="G51" i="3"/>
  <c r="G55" i="3"/>
  <c r="G73" i="3"/>
  <c r="G98" i="3"/>
  <c r="G110" i="3"/>
  <c r="G142" i="3"/>
  <c r="G22" i="3"/>
  <c r="G64" i="3"/>
  <c r="G68" i="3"/>
  <c r="G84" i="3"/>
  <c r="G95" i="3"/>
  <c r="G111" i="3"/>
  <c r="G119" i="3"/>
  <c r="G134" i="3"/>
  <c r="G121" i="3"/>
  <c r="G145" i="3"/>
  <c r="G77" i="3"/>
  <c r="G81" i="3"/>
  <c r="G91" i="3"/>
  <c r="G101" i="3"/>
  <c r="G162" i="3"/>
  <c r="G109" i="3"/>
  <c r="G128" i="3"/>
  <c r="G133" i="3"/>
  <c r="G138" i="3"/>
  <c r="G108" i="3"/>
  <c r="G113" i="3"/>
  <c r="G118" i="3"/>
  <c r="G123" i="3"/>
  <c r="G159" i="3"/>
  <c r="G127" i="3"/>
  <c r="G131" i="3"/>
  <c r="G135" i="3"/>
  <c r="G139" i="3"/>
  <c r="G143" i="3"/>
  <c r="G147" i="3"/>
  <c r="G151" i="3"/>
  <c r="G158" i="3"/>
  <c r="G163" i="3"/>
  <c r="G149" i="3"/>
  <c r="G153" i="3"/>
  <c r="G156" i="3"/>
  <c r="G160" i="3"/>
  <c r="G164" i="3"/>
  <c r="G168" i="3"/>
  <c r="AI142" i="3"/>
  <c r="AI124" i="3"/>
  <c r="AI168" i="3"/>
  <c r="AI65" i="3"/>
  <c r="AI78" i="3"/>
  <c r="AI31" i="3"/>
  <c r="AI40" i="3"/>
  <c r="AI10" i="3"/>
  <c r="AI57" i="3"/>
  <c r="AI95" i="3"/>
  <c r="AI51" i="3"/>
  <c r="AI167" i="3"/>
  <c r="AI146" i="3"/>
  <c r="AI103" i="3"/>
  <c r="AI26" i="3"/>
  <c r="AI156" i="3"/>
  <c r="AI91" i="3"/>
  <c r="AI99" i="3"/>
  <c r="AI23" i="3"/>
  <c r="AI42" i="3"/>
  <c r="AI71" i="3"/>
  <c r="AI15" i="3"/>
  <c r="AI21" i="3"/>
  <c r="AI136" i="3"/>
  <c r="AI8" i="3"/>
  <c r="AI4" i="3"/>
  <c r="AI55" i="3"/>
  <c r="AI44" i="3"/>
  <c r="AI128" i="3"/>
  <c r="AI150" i="3"/>
  <c r="AI73" i="3"/>
  <c r="AI14" i="3"/>
  <c r="AI106" i="3"/>
  <c r="AI105" i="3"/>
  <c r="AI77" i="3"/>
  <c r="AI100" i="3"/>
  <c r="AI155" i="3"/>
  <c r="AI16" i="3"/>
  <c r="AI34" i="3"/>
  <c r="AI67" i="3"/>
  <c r="AI87" i="3"/>
  <c r="AI56" i="3"/>
  <c r="AI61" i="3"/>
  <c r="AI130" i="3"/>
  <c r="AI58" i="3"/>
  <c r="AI74" i="3"/>
  <c r="AI115" i="3"/>
  <c r="AI165" i="3"/>
  <c r="AI76" i="3"/>
  <c r="AI5" i="3"/>
  <c r="AI32" i="3"/>
  <c r="AI50" i="3"/>
  <c r="AI119" i="3"/>
  <c r="AI46" i="3"/>
  <c r="AI139" i="3"/>
  <c r="AI52" i="3"/>
  <c r="AI7" i="3"/>
  <c r="AI35" i="3"/>
  <c r="AI68" i="3"/>
  <c r="AI72" i="3"/>
  <c r="AI81" i="3"/>
  <c r="AI107" i="3"/>
  <c r="AI86" i="3"/>
  <c r="AI108" i="3"/>
  <c r="AI9" i="3"/>
  <c r="AI18" i="3"/>
  <c r="AI36" i="3"/>
  <c r="AI49" i="3"/>
  <c r="AI63" i="3"/>
  <c r="AI75" i="3"/>
  <c r="AI83" i="3"/>
  <c r="AI11" i="3"/>
  <c r="AI28" i="3"/>
  <c r="AI127" i="3"/>
  <c r="AI27" i="3"/>
  <c r="AI96" i="3"/>
  <c r="AI147" i="3"/>
  <c r="AI22" i="3"/>
  <c r="AI39" i="3"/>
  <c r="AI110" i="3"/>
  <c r="AI118" i="3"/>
  <c r="AI134" i="3"/>
  <c r="AI149" i="3"/>
  <c r="AI30" i="3"/>
  <c r="AI54" i="3"/>
  <c r="AI79" i="3"/>
  <c r="AI132" i="3"/>
  <c r="AI20" i="3"/>
  <c r="AI38" i="3"/>
  <c r="AI64" i="3"/>
  <c r="AI93" i="3"/>
  <c r="AI112" i="3"/>
  <c r="AI17" i="3"/>
  <c r="AI48" i="3"/>
  <c r="AI53" i="3"/>
  <c r="AI13" i="3"/>
  <c r="AI43" i="3"/>
  <c r="AI47" i="3"/>
  <c r="AI69" i="3"/>
  <c r="AI143" i="3"/>
  <c r="AI158" i="3"/>
  <c r="AI12" i="3"/>
  <c r="AI62" i="3"/>
  <c r="AI66" i="3"/>
  <c r="AI70" i="3"/>
  <c r="AI85" i="3"/>
  <c r="AI135" i="3"/>
  <c r="AI153" i="3"/>
  <c r="AI19" i="3"/>
  <c r="AI25" i="3"/>
  <c r="AI29" i="3"/>
  <c r="AI33" i="3"/>
  <c r="AI37" i="3"/>
  <c r="AI41" i="3"/>
  <c r="AI89" i="3"/>
  <c r="AI101" i="3"/>
  <c r="AI111" i="3"/>
  <c r="AI122" i="3"/>
  <c r="AI166" i="3"/>
  <c r="AI6" i="3"/>
  <c r="AI80" i="3"/>
  <c r="AI92" i="3"/>
  <c r="AI120" i="3"/>
  <c r="AI157" i="3"/>
  <c r="AI97" i="3"/>
  <c r="AI116" i="3"/>
  <c r="AI123" i="3"/>
  <c r="AI140" i="3"/>
  <c r="AI161" i="3"/>
  <c r="AI84" i="3"/>
  <c r="AI88" i="3"/>
  <c r="AI131" i="3"/>
  <c r="AI160" i="3"/>
  <c r="AI90" i="3"/>
  <c r="AI94" i="3"/>
  <c r="AI98" i="3"/>
  <c r="AI102" i="3"/>
  <c r="AI114" i="3"/>
  <c r="AI154" i="3"/>
  <c r="AI163" i="3"/>
  <c r="AI144" i="3"/>
  <c r="AI138" i="3"/>
  <c r="AI162" i="3"/>
  <c r="AI129" i="3"/>
  <c r="AI133" i="3"/>
  <c r="AI137" i="3"/>
  <c r="AI141" i="3"/>
  <c r="AI145" i="3"/>
  <c r="AI152" i="3"/>
  <c r="AI159" i="3"/>
  <c r="AI164" i="3"/>
  <c r="AI109" i="3"/>
  <c r="AI113" i="3"/>
  <c r="AI117" i="3"/>
  <c r="AI121" i="3"/>
  <c r="AI125" i="3"/>
  <c r="AI151" i="3"/>
  <c r="AI169" i="3"/>
  <c r="AW44" i="3"/>
  <c r="AW81" i="3"/>
  <c r="AW63" i="3"/>
  <c r="AW94" i="3"/>
  <c r="AW5" i="3"/>
  <c r="AW84" i="3"/>
  <c r="AW40" i="3"/>
  <c r="AW27" i="3"/>
  <c r="AW98" i="3"/>
  <c r="AW159" i="3"/>
  <c r="AW141" i="3"/>
  <c r="AW50" i="3"/>
  <c r="AW146" i="3"/>
  <c r="AW64" i="3"/>
  <c r="AW13" i="3"/>
  <c r="AW66" i="3"/>
  <c r="AW29" i="3"/>
  <c r="AW37" i="3"/>
  <c r="AW17" i="3"/>
  <c r="AW152" i="3"/>
  <c r="AW65" i="3"/>
  <c r="AW149" i="3"/>
  <c r="AW123" i="3"/>
  <c r="AW124" i="3"/>
  <c r="AW136" i="3"/>
  <c r="AW16" i="3"/>
  <c r="AW18" i="3"/>
  <c r="AW125" i="3"/>
  <c r="AW28" i="3"/>
  <c r="AW23" i="3"/>
  <c r="AW52" i="3"/>
  <c r="AW35" i="3"/>
  <c r="AW4" i="3"/>
  <c r="AW108" i="3"/>
  <c r="AW113" i="3"/>
  <c r="AW140" i="3"/>
  <c r="AW51" i="3"/>
  <c r="AW39" i="3"/>
  <c r="AW49" i="3"/>
  <c r="AW61" i="3"/>
  <c r="AW143" i="3"/>
  <c r="AW53" i="3"/>
  <c r="AW105" i="3"/>
  <c r="AW111" i="3"/>
  <c r="AW135" i="3"/>
  <c r="AW147" i="3"/>
  <c r="AW48" i="3"/>
  <c r="AW70" i="3"/>
  <c r="AW10" i="3"/>
  <c r="AW54" i="3"/>
  <c r="AW120" i="3"/>
  <c r="AW80" i="3"/>
  <c r="AW89" i="3"/>
  <c r="AW93" i="3"/>
  <c r="AW25" i="3"/>
  <c r="AW9" i="3"/>
  <c r="AW47" i="3"/>
  <c r="AW144" i="3"/>
  <c r="AW164" i="3"/>
  <c r="AW169" i="3"/>
  <c r="AW6" i="3"/>
  <c r="AW43" i="3"/>
  <c r="AW78" i="3"/>
  <c r="AW32" i="3"/>
  <c r="AW58" i="3"/>
  <c r="AW71" i="3"/>
  <c r="AW96" i="3"/>
  <c r="AW134" i="3"/>
  <c r="AW139" i="3"/>
  <c r="AW153" i="3"/>
  <c r="AW7" i="3"/>
  <c r="AW69" i="3"/>
  <c r="AW154" i="3"/>
  <c r="AW20" i="3"/>
  <c r="AW76" i="3"/>
  <c r="AW109" i="3"/>
  <c r="AW128" i="3"/>
  <c r="AW130" i="3"/>
  <c r="AW11" i="3"/>
  <c r="AW33" i="3"/>
  <c r="AW57" i="3"/>
  <c r="AW87" i="3"/>
  <c r="AW151" i="3"/>
  <c r="AW166" i="3"/>
  <c r="AW68" i="3"/>
  <c r="AW74" i="3"/>
  <c r="AW90" i="3"/>
  <c r="AW116" i="3"/>
  <c r="AW121" i="3"/>
  <c r="AW145" i="3"/>
  <c r="AW19" i="3"/>
  <c r="AW22" i="3"/>
  <c r="AW46" i="3"/>
  <c r="AW56" i="3"/>
  <c r="AW75" i="3"/>
  <c r="AW86" i="3"/>
  <c r="AW92" i="3"/>
  <c r="AW119" i="3"/>
  <c r="AW165" i="3"/>
  <c r="AW15" i="3"/>
  <c r="AW31" i="3"/>
  <c r="AW55" i="3"/>
  <c r="AW62" i="3"/>
  <c r="AW67" i="3"/>
  <c r="AW95" i="3"/>
  <c r="AW99" i="3"/>
  <c r="AW12" i="3"/>
  <c r="AW36" i="3"/>
  <c r="AW41" i="3"/>
  <c r="AW77" i="3"/>
  <c r="AW133" i="3"/>
  <c r="AW14" i="3"/>
  <c r="AW26" i="3"/>
  <c r="AW30" i="3"/>
  <c r="AW34" i="3"/>
  <c r="AW38" i="3"/>
  <c r="AW42" i="3"/>
  <c r="AW72" i="3"/>
  <c r="AW79" i="3"/>
  <c r="AW138" i="3"/>
  <c r="AW21" i="3"/>
  <c r="AW73" i="3"/>
  <c r="AW88" i="3"/>
  <c r="AW100" i="3"/>
  <c r="AW129" i="3"/>
  <c r="AW155" i="3"/>
  <c r="AW8" i="3"/>
  <c r="AW83" i="3"/>
  <c r="AW97" i="3"/>
  <c r="AW85" i="3"/>
  <c r="AW91" i="3"/>
  <c r="AW101" i="3"/>
  <c r="AW103" i="3"/>
  <c r="AW115" i="3"/>
  <c r="AW127" i="3"/>
  <c r="AW102" i="3"/>
  <c r="AW161" i="3"/>
  <c r="AW163" i="3"/>
  <c r="AW168" i="3"/>
  <c r="AW132" i="3"/>
  <c r="AW137" i="3"/>
  <c r="AW142" i="3"/>
  <c r="AW107" i="3"/>
  <c r="AW112" i="3"/>
  <c r="AW117" i="3"/>
  <c r="AW131" i="3"/>
  <c r="AW158" i="3"/>
  <c r="AW160" i="3"/>
  <c r="AW106" i="3"/>
  <c r="AW110" i="3"/>
  <c r="AW114" i="3"/>
  <c r="AW118" i="3"/>
  <c r="AW122" i="3"/>
  <c r="AW150" i="3"/>
  <c r="AW157" i="3"/>
  <c r="AW162" i="3"/>
  <c r="AW167" i="3"/>
  <c r="AW156" i="3"/>
  <c r="BL42" i="3"/>
  <c r="BL117" i="3"/>
  <c r="BL138" i="3"/>
  <c r="BL37" i="3"/>
  <c r="BL139" i="3"/>
  <c r="BL89" i="3"/>
  <c r="BL79" i="3"/>
  <c r="BL8" i="3"/>
  <c r="BL127" i="3"/>
  <c r="BL19" i="3"/>
  <c r="BL100" i="3"/>
  <c r="BL48" i="3"/>
  <c r="BL132" i="3"/>
  <c r="BL25" i="3"/>
  <c r="BL162" i="3"/>
  <c r="BL98" i="3"/>
  <c r="BL10" i="3"/>
  <c r="BL17" i="3"/>
  <c r="BL108" i="3"/>
  <c r="BL26" i="3"/>
  <c r="BL113" i="3"/>
  <c r="BL134" i="3"/>
  <c r="BL50" i="3"/>
  <c r="BL46" i="3"/>
  <c r="BL32" i="3"/>
  <c r="BL106" i="3"/>
  <c r="BL102" i="3"/>
  <c r="BL87" i="3"/>
  <c r="BL167" i="3"/>
  <c r="BL12" i="3"/>
  <c r="BL161" i="3"/>
  <c r="BL20" i="3"/>
  <c r="BL166" i="3"/>
  <c r="BL58" i="3"/>
  <c r="BL129" i="3"/>
  <c r="BL22" i="3"/>
  <c r="BL47" i="3"/>
  <c r="BL74" i="3"/>
  <c r="BL56" i="3"/>
  <c r="BL57" i="3"/>
  <c r="BL36" i="3"/>
  <c r="BL114" i="3"/>
  <c r="BL13" i="3"/>
  <c r="BL118" i="3"/>
  <c r="BL144" i="3"/>
  <c r="BL18" i="3"/>
  <c r="BL33" i="3"/>
  <c r="BL91" i="3"/>
  <c r="BL66" i="3"/>
  <c r="BL99" i="3"/>
  <c r="BL84" i="3"/>
  <c r="BL103" i="3"/>
  <c r="BL68" i="3"/>
  <c r="BL95" i="3"/>
  <c r="BL6" i="3"/>
  <c r="BL78" i="3"/>
  <c r="BL88" i="3"/>
  <c r="BL92" i="3"/>
  <c r="BL41" i="3"/>
  <c r="BL5" i="3"/>
  <c r="BL28" i="3"/>
  <c r="BL40" i="3"/>
  <c r="BL61" i="3"/>
  <c r="BL62" i="3"/>
  <c r="BL71" i="3"/>
  <c r="BL143" i="3"/>
  <c r="BL4" i="3"/>
  <c r="BL15" i="3"/>
  <c r="BL55" i="3"/>
  <c r="BL67" i="3"/>
  <c r="BL83" i="3"/>
  <c r="BL137" i="3"/>
  <c r="BL156" i="3"/>
  <c r="BL38" i="3"/>
  <c r="BL63" i="3"/>
  <c r="BL90" i="3"/>
  <c r="BL157" i="3"/>
  <c r="BL52" i="3"/>
  <c r="BL30" i="3"/>
  <c r="BL53" i="3"/>
  <c r="BL128" i="3"/>
  <c r="BL149" i="3"/>
  <c r="BL7" i="3"/>
  <c r="BL64" i="3"/>
  <c r="BL69" i="3"/>
  <c r="BL81" i="3"/>
  <c r="BL131" i="3"/>
  <c r="BL152" i="3"/>
  <c r="BL51" i="3"/>
  <c r="BL72" i="3"/>
  <c r="BL146" i="3"/>
  <c r="BL11" i="3"/>
  <c r="BL21" i="3"/>
  <c r="BL49" i="3"/>
  <c r="BL54" i="3"/>
  <c r="BL142" i="3"/>
  <c r="BL65" i="3"/>
  <c r="BL70" i="3"/>
  <c r="BL97" i="3"/>
  <c r="BL14" i="3"/>
  <c r="BL29" i="3"/>
  <c r="BL34" i="3"/>
  <c r="BL44" i="3"/>
  <c r="BL73" i="3"/>
  <c r="BL80" i="3"/>
  <c r="BL85" i="3"/>
  <c r="BL101" i="3"/>
  <c r="BL141" i="3"/>
  <c r="BL9" i="3"/>
  <c r="BL27" i="3"/>
  <c r="BL31" i="3"/>
  <c r="BL35" i="3"/>
  <c r="BL39" i="3"/>
  <c r="BL43" i="3"/>
  <c r="BL75" i="3"/>
  <c r="BL77" i="3"/>
  <c r="BL151" i="3"/>
  <c r="BL16" i="3"/>
  <c r="BL76" i="3"/>
  <c r="BL96" i="3"/>
  <c r="BL122" i="3"/>
  <c r="BL136" i="3"/>
  <c r="BL23" i="3"/>
  <c r="BL93" i="3"/>
  <c r="BL105" i="3"/>
  <c r="BL112" i="3"/>
  <c r="BL124" i="3"/>
  <c r="BL150" i="3"/>
  <c r="BL158" i="3"/>
  <c r="BL168" i="3"/>
  <c r="BL116" i="3"/>
  <c r="BL153" i="3"/>
  <c r="BL86" i="3"/>
  <c r="BL94" i="3"/>
  <c r="BL109" i="3"/>
  <c r="BL133" i="3"/>
  <c r="BL147" i="3"/>
  <c r="BL121" i="3"/>
  <c r="BL130" i="3"/>
  <c r="BL140" i="3"/>
  <c r="BL145" i="3"/>
  <c r="BL154" i="3"/>
  <c r="BL163" i="3"/>
  <c r="BL135" i="3"/>
  <c r="BL110" i="3"/>
  <c r="BL120" i="3"/>
  <c r="BL125" i="3"/>
  <c r="BL159" i="3"/>
  <c r="BL107" i="3"/>
  <c r="BL111" i="3"/>
  <c r="BL115" i="3"/>
  <c r="BL119" i="3"/>
  <c r="BL123" i="3"/>
  <c r="BL164" i="3"/>
  <c r="BL169" i="3"/>
  <c r="BL155" i="3"/>
  <c r="BL160" i="3"/>
  <c r="BL165" i="3"/>
  <c r="AD96" i="3"/>
  <c r="AD159" i="3"/>
  <c r="AD120" i="3"/>
  <c r="AD19" i="3"/>
  <c r="AD167" i="3"/>
  <c r="AD33" i="3"/>
  <c r="AD88" i="3"/>
  <c r="AD31" i="3"/>
  <c r="AD125" i="3"/>
  <c r="AD141" i="3"/>
  <c r="AD150" i="3"/>
  <c r="AD153" i="3"/>
  <c r="AD74" i="3"/>
  <c r="AD28" i="3"/>
  <c r="AD92" i="3"/>
  <c r="AD66" i="3"/>
  <c r="AD48" i="3"/>
  <c r="AD18" i="3"/>
  <c r="AD4" i="3"/>
  <c r="AD43" i="3"/>
  <c r="AD87" i="3"/>
  <c r="AD25" i="3"/>
  <c r="AD105" i="3"/>
  <c r="AD9" i="3"/>
  <c r="AD77" i="3"/>
  <c r="AD70" i="3"/>
  <c r="AD140" i="3"/>
  <c r="AD109" i="3"/>
  <c r="AD53" i="3"/>
  <c r="AD76" i="3"/>
  <c r="AD10" i="3"/>
  <c r="AD49" i="3"/>
  <c r="AD168" i="3"/>
  <c r="AD50" i="3"/>
  <c r="AD69" i="3"/>
  <c r="AD93" i="3"/>
  <c r="AD116" i="3"/>
  <c r="AD119" i="3"/>
  <c r="AD17" i="3"/>
  <c r="AD58" i="3"/>
  <c r="AD89" i="3"/>
  <c r="AD22" i="3"/>
  <c r="AD11" i="3"/>
  <c r="AD36" i="3"/>
  <c r="AD46" i="3"/>
  <c r="AD79" i="3"/>
  <c r="AD97" i="3"/>
  <c r="AD131" i="3"/>
  <c r="AD86" i="3"/>
  <c r="AD5" i="3"/>
  <c r="AD139" i="3"/>
  <c r="AD44" i="3"/>
  <c r="AD124" i="3"/>
  <c r="AD15" i="3"/>
  <c r="AD41" i="3"/>
  <c r="AD117" i="3"/>
  <c r="AD68" i="3"/>
  <c r="AD81" i="3"/>
  <c r="AD56" i="3"/>
  <c r="AD12" i="3"/>
  <c r="AD121" i="3"/>
  <c r="AD20" i="3"/>
  <c r="AD61" i="3"/>
  <c r="AD102" i="3"/>
  <c r="AD135" i="3"/>
  <c r="AD29" i="3"/>
  <c r="AD64" i="3"/>
  <c r="AD39" i="3"/>
  <c r="AD111" i="3"/>
  <c r="AD132" i="3"/>
  <c r="AD137" i="3"/>
  <c r="AD40" i="3"/>
  <c r="AD55" i="3"/>
  <c r="AD65" i="3"/>
  <c r="AD101" i="3"/>
  <c r="AD54" i="3"/>
  <c r="AD62" i="3"/>
  <c r="AD75" i="3"/>
  <c r="AD8" i="3"/>
  <c r="AD35" i="3"/>
  <c r="AD47" i="3"/>
  <c r="AD129" i="3"/>
  <c r="AD6" i="3"/>
  <c r="AD73" i="3"/>
  <c r="AD115" i="3"/>
  <c r="AD13" i="3"/>
  <c r="AD23" i="3"/>
  <c r="AD52" i="3"/>
  <c r="AD57" i="3"/>
  <c r="AD78" i="3"/>
  <c r="AD27" i="3"/>
  <c r="AD51" i="3"/>
  <c r="AD94" i="3"/>
  <c r="AD16" i="3"/>
  <c r="AD32" i="3"/>
  <c r="AD37" i="3"/>
  <c r="AD83" i="3"/>
  <c r="AD7" i="3"/>
  <c r="AD63" i="3"/>
  <c r="AD67" i="3"/>
  <c r="AD71" i="3"/>
  <c r="AD80" i="3"/>
  <c r="AD98" i="3"/>
  <c r="AD112" i="3"/>
  <c r="AD144" i="3"/>
  <c r="AD161" i="3"/>
  <c r="AD14" i="3"/>
  <c r="AD26" i="3"/>
  <c r="AD30" i="3"/>
  <c r="AD34" i="3"/>
  <c r="AD38" i="3"/>
  <c r="AD42" i="3"/>
  <c r="AD145" i="3"/>
  <c r="AD21" i="3"/>
  <c r="AD72" i="3"/>
  <c r="AD84" i="3"/>
  <c r="AD106" i="3"/>
  <c r="AD149" i="3"/>
  <c r="AD90" i="3"/>
  <c r="AD100" i="3"/>
  <c r="AD107" i="3"/>
  <c r="AD136" i="3"/>
  <c r="AD143" i="3"/>
  <c r="AD154" i="3"/>
  <c r="AD155" i="3"/>
  <c r="AD85" i="3"/>
  <c r="AD91" i="3"/>
  <c r="AD95" i="3"/>
  <c r="AD99" i="3"/>
  <c r="AD103" i="3"/>
  <c r="AD128" i="3"/>
  <c r="AD133" i="3"/>
  <c r="AD164" i="3"/>
  <c r="AD156" i="3"/>
  <c r="AD165" i="3"/>
  <c r="AD108" i="3"/>
  <c r="AD113" i="3"/>
  <c r="AD123" i="3"/>
  <c r="AD127" i="3"/>
  <c r="AD147" i="3"/>
  <c r="AD166" i="3"/>
  <c r="AD130" i="3"/>
  <c r="AD134" i="3"/>
  <c r="AD138" i="3"/>
  <c r="AD142" i="3"/>
  <c r="AD146" i="3"/>
  <c r="AD169" i="3"/>
  <c r="AD157" i="3"/>
  <c r="AD110" i="3"/>
  <c r="AD114" i="3"/>
  <c r="AD118" i="3"/>
  <c r="AD122" i="3"/>
  <c r="AD151" i="3"/>
  <c r="AD160" i="3"/>
  <c r="AD162" i="3"/>
  <c r="AD152" i="3"/>
  <c r="AD158" i="3"/>
  <c r="AD163" i="3"/>
  <c r="X47" i="3"/>
  <c r="X32" i="3"/>
  <c r="X142" i="3"/>
  <c r="X166" i="3"/>
  <c r="X158" i="3"/>
  <c r="X153" i="3"/>
  <c r="X21" i="3"/>
  <c r="X152" i="3"/>
  <c r="X108" i="3"/>
  <c r="X56" i="3"/>
  <c r="X61" i="3"/>
  <c r="X91" i="3"/>
  <c r="X138" i="3"/>
  <c r="X95" i="3"/>
  <c r="X64" i="3"/>
  <c r="X34" i="3"/>
  <c r="X130" i="3"/>
  <c r="X58" i="3"/>
  <c r="X161" i="3"/>
  <c r="X8" i="3"/>
  <c r="X10" i="3"/>
  <c r="X144" i="3"/>
  <c r="X147" i="3"/>
  <c r="X5" i="3"/>
  <c r="X19" i="3"/>
  <c r="X139" i="3"/>
  <c r="X157" i="3"/>
  <c r="X53" i="3"/>
  <c r="X99" i="3"/>
  <c r="X44" i="3"/>
  <c r="X69" i="3"/>
  <c r="X132" i="3"/>
  <c r="X80" i="3"/>
  <c r="X85" i="3"/>
  <c r="X48" i="3"/>
  <c r="X68" i="3"/>
  <c r="X67" i="3"/>
  <c r="X37" i="3"/>
  <c r="X49" i="3"/>
  <c r="X160" i="3"/>
  <c r="X168" i="3"/>
  <c r="X30" i="3"/>
  <c r="X63" i="3"/>
  <c r="X71" i="3"/>
  <c r="X84" i="3"/>
  <c r="X89" i="3"/>
  <c r="X90" i="3"/>
  <c r="X96" i="3"/>
  <c r="X7" i="3"/>
  <c r="X25" i="3"/>
  <c r="X46" i="3"/>
  <c r="X87" i="3"/>
  <c r="X101" i="3"/>
  <c r="X38" i="3"/>
  <c r="X65" i="3"/>
  <c r="X79" i="3"/>
  <c r="X98" i="3"/>
  <c r="X13" i="3"/>
  <c r="X29" i="3"/>
  <c r="X72" i="3"/>
  <c r="X77" i="3"/>
  <c r="X129" i="3"/>
  <c r="X133" i="3"/>
  <c r="X42" i="3"/>
  <c r="X70" i="3"/>
  <c r="X125" i="3"/>
  <c r="X163" i="3"/>
  <c r="X4" i="3"/>
  <c r="X18" i="3"/>
  <c r="X40" i="3"/>
  <c r="X51" i="3"/>
  <c r="X62" i="3"/>
  <c r="X66" i="3"/>
  <c r="X114" i="3"/>
  <c r="X118" i="3"/>
  <c r="X54" i="3"/>
  <c r="X109" i="3"/>
  <c r="X162" i="3"/>
  <c r="X121" i="3"/>
  <c r="X145" i="3"/>
  <c r="X6" i="3"/>
  <c r="X17" i="3"/>
  <c r="X28" i="3"/>
  <c r="X52" i="3"/>
  <c r="X73" i="3"/>
  <c r="X14" i="3"/>
  <c r="X20" i="3"/>
  <c r="X113" i="3"/>
  <c r="X131" i="3"/>
  <c r="X11" i="3"/>
  <c r="X33" i="3"/>
  <c r="X57" i="3"/>
  <c r="X76" i="3"/>
  <c r="X12" i="3"/>
  <c r="X26" i="3"/>
  <c r="X36" i="3"/>
  <c r="X41" i="3"/>
  <c r="X135" i="3"/>
  <c r="X143" i="3"/>
  <c r="X151" i="3"/>
  <c r="X22" i="3"/>
  <c r="X81" i="3"/>
  <c r="X120" i="3"/>
  <c r="X140" i="3"/>
  <c r="X154" i="3"/>
  <c r="X169" i="3"/>
  <c r="X15" i="3"/>
  <c r="X50" i="3"/>
  <c r="X55" i="3"/>
  <c r="X102" i="3"/>
  <c r="X164" i="3"/>
  <c r="X9" i="3"/>
  <c r="X27" i="3"/>
  <c r="X31" i="3"/>
  <c r="X35" i="3"/>
  <c r="X39" i="3"/>
  <c r="X43" i="3"/>
  <c r="X74" i="3"/>
  <c r="X83" i="3"/>
  <c r="X88" i="3"/>
  <c r="X103" i="3"/>
  <c r="X124" i="3"/>
  <c r="X137" i="3"/>
  <c r="X156" i="3"/>
  <c r="X16" i="3"/>
  <c r="X97" i="3"/>
  <c r="X100" i="3"/>
  <c r="X23" i="3"/>
  <c r="X75" i="3"/>
  <c r="X78" i="3"/>
  <c r="X94" i="3"/>
  <c r="X116" i="3"/>
  <c r="X127" i="3"/>
  <c r="X128" i="3"/>
  <c r="X92" i="3"/>
  <c r="X110" i="3"/>
  <c r="X134" i="3"/>
  <c r="X86" i="3"/>
  <c r="X93" i="3"/>
  <c r="X159" i="3"/>
  <c r="X149" i="3"/>
  <c r="X112" i="3"/>
  <c r="X117" i="3"/>
  <c r="X122" i="3"/>
  <c r="X155" i="3"/>
  <c r="X105" i="3"/>
  <c r="X106" i="3"/>
  <c r="X136" i="3"/>
  <c r="X141" i="3"/>
  <c r="X146" i="3"/>
  <c r="X150" i="3"/>
  <c r="X165" i="3"/>
  <c r="X167" i="3"/>
  <c r="X107" i="3"/>
  <c r="X111" i="3"/>
  <c r="X115" i="3"/>
  <c r="X119" i="3"/>
  <c r="X123" i="3"/>
  <c r="Q38" i="3"/>
  <c r="Q8" i="3"/>
  <c r="Q65" i="3"/>
  <c r="Q107" i="3"/>
  <c r="Q112" i="3"/>
  <c r="Q23" i="3"/>
  <c r="Q95" i="3"/>
  <c r="Q51" i="3"/>
  <c r="Q61" i="3"/>
  <c r="Q47" i="3"/>
  <c r="Q161" i="3"/>
  <c r="Q28" i="3"/>
  <c r="Q37" i="3"/>
  <c r="Q150" i="3"/>
  <c r="Q4" i="3"/>
  <c r="Q6" i="3"/>
  <c r="Q63" i="3"/>
  <c r="Q90" i="3"/>
  <c r="Q20" i="3"/>
  <c r="Q81" i="3"/>
  <c r="Q86" i="3"/>
  <c r="Q142" i="3"/>
  <c r="Q106" i="3"/>
  <c r="Q17" i="3"/>
  <c r="Q9" i="3"/>
  <c r="Q109" i="3"/>
  <c r="Q10" i="3"/>
  <c r="Q76" i="3"/>
  <c r="Q128" i="3"/>
  <c r="Q46" i="3"/>
  <c r="Q127" i="3"/>
  <c r="Q36" i="3"/>
  <c r="Q50" i="3"/>
  <c r="Q72" i="3"/>
  <c r="Q105" i="3"/>
  <c r="Q54" i="3"/>
  <c r="Q98" i="3"/>
  <c r="Q157" i="3"/>
  <c r="Q19" i="3"/>
  <c r="Q101" i="3"/>
  <c r="Q30" i="3"/>
  <c r="Q131" i="3"/>
  <c r="Q139" i="3"/>
  <c r="Q13" i="3"/>
  <c r="Q41" i="3"/>
  <c r="Q88" i="3"/>
  <c r="Q80" i="3"/>
  <c r="Q123" i="3"/>
  <c r="Q134" i="3"/>
  <c r="Q52" i="3"/>
  <c r="Q73" i="3"/>
  <c r="Q124" i="3"/>
  <c r="Q16" i="3"/>
  <c r="Q35" i="3"/>
  <c r="Q64" i="3"/>
  <c r="Q91" i="3"/>
  <c r="Q121" i="3"/>
  <c r="Q39" i="3"/>
  <c r="Q55" i="3"/>
  <c r="Q92" i="3"/>
  <c r="Q122" i="3"/>
  <c r="Q33" i="3"/>
  <c r="Q75" i="3"/>
  <c r="Q78" i="3"/>
  <c r="Q27" i="3"/>
  <c r="Q26" i="3"/>
  <c r="Q44" i="3"/>
  <c r="Q163" i="3"/>
  <c r="Q22" i="3"/>
  <c r="Q25" i="3"/>
  <c r="Q164" i="3"/>
  <c r="Q42" i="3"/>
  <c r="Q67" i="3"/>
  <c r="Q93" i="3"/>
  <c r="Q94" i="3"/>
  <c r="Q97" i="3"/>
  <c r="Q119" i="3"/>
  <c r="Q32" i="3"/>
  <c r="Q85" i="3"/>
  <c r="Q138" i="3"/>
  <c r="Q165" i="3"/>
  <c r="Q56" i="3"/>
  <c r="Q68" i="3"/>
  <c r="Q69" i="3"/>
  <c r="Q89" i="3"/>
  <c r="Q83" i="3"/>
  <c r="Q152" i="3"/>
  <c r="Q7" i="3"/>
  <c r="Q43" i="3"/>
  <c r="Q48" i="3"/>
  <c r="Q117" i="3"/>
  <c r="Q143" i="3"/>
  <c r="Q146" i="3"/>
  <c r="Q167" i="3"/>
  <c r="Q15" i="3"/>
  <c r="Q21" i="3"/>
  <c r="Q31" i="3"/>
  <c r="Q58" i="3"/>
  <c r="Q71" i="3"/>
  <c r="Q100" i="3"/>
  <c r="Q103" i="3"/>
  <c r="Q40" i="3"/>
  <c r="Q74" i="3"/>
  <c r="Q77" i="3"/>
  <c r="Q84" i="3"/>
  <c r="Q136" i="3"/>
  <c r="Q14" i="3"/>
  <c r="Q29" i="3"/>
  <c r="Q34" i="3"/>
  <c r="Q11" i="3"/>
  <c r="Q114" i="3"/>
  <c r="Q147" i="3"/>
  <c r="Q18" i="3"/>
  <c r="Q87" i="3"/>
  <c r="Q99" i="3"/>
  <c r="Q115" i="3"/>
  <c r="Q5" i="3"/>
  <c r="Q49" i="3"/>
  <c r="Q53" i="3"/>
  <c r="Q57" i="3"/>
  <c r="Q102" i="3"/>
  <c r="Q12" i="3"/>
  <c r="Q62" i="3"/>
  <c r="Q66" i="3"/>
  <c r="Q70" i="3"/>
  <c r="Q118" i="3"/>
  <c r="Q120" i="3"/>
  <c r="Q144" i="3"/>
  <c r="Q79" i="3"/>
  <c r="Q96" i="3"/>
  <c r="Q113" i="3"/>
  <c r="Q130" i="3"/>
  <c r="Q108" i="3"/>
  <c r="Q132" i="3"/>
  <c r="Q169" i="3"/>
  <c r="Q111" i="3"/>
  <c r="Q116" i="3"/>
  <c r="Q135" i="3"/>
  <c r="Q159" i="3"/>
  <c r="Q110" i="3"/>
  <c r="Q125" i="3"/>
  <c r="Q140" i="3"/>
  <c r="Q149" i="3"/>
  <c r="Q154" i="3"/>
  <c r="Q168" i="3"/>
  <c r="Q156" i="3"/>
  <c r="Q129" i="3"/>
  <c r="Q133" i="3"/>
  <c r="Q137" i="3"/>
  <c r="Q141" i="3"/>
  <c r="Q145" i="3"/>
  <c r="Q153" i="3"/>
  <c r="Q155" i="3"/>
  <c r="Q160" i="3"/>
  <c r="Q151" i="3"/>
  <c r="Q158" i="3"/>
  <c r="Q162" i="3"/>
  <c r="Q166" i="3"/>
  <c r="Z149" i="3"/>
  <c r="Z58" i="3"/>
  <c r="Z13" i="3"/>
  <c r="Z120" i="3"/>
  <c r="Z93" i="3"/>
  <c r="Z86" i="3"/>
  <c r="Z30" i="3"/>
  <c r="Z85" i="3"/>
  <c r="Z84" i="3"/>
  <c r="Z89" i="3"/>
  <c r="Z95" i="3"/>
  <c r="Z158" i="3"/>
  <c r="Z14" i="3"/>
  <c r="Z21" i="3"/>
  <c r="Z66" i="3"/>
  <c r="Z57" i="3"/>
  <c r="Z96" i="3"/>
  <c r="Z111" i="3"/>
  <c r="Z34" i="3"/>
  <c r="Z49" i="3"/>
  <c r="Z69" i="3"/>
  <c r="Z80" i="3"/>
  <c r="Z114" i="3"/>
  <c r="Z140" i="3"/>
  <c r="Z133" i="3"/>
  <c r="Z166" i="3"/>
  <c r="Z61" i="3"/>
  <c r="Z37" i="3"/>
  <c r="Z78" i="3"/>
  <c r="Z99" i="3"/>
  <c r="Z10" i="3"/>
  <c r="Z118" i="3"/>
  <c r="Z53" i="3"/>
  <c r="Z97" i="3"/>
  <c r="Z7" i="3"/>
  <c r="Z25" i="3"/>
  <c r="Z87" i="3"/>
  <c r="Z94" i="3"/>
  <c r="Z169" i="3"/>
  <c r="Z32" i="3"/>
  <c r="Z44" i="3"/>
  <c r="Z48" i="3"/>
  <c r="Z138" i="3"/>
  <c r="Z161" i="3"/>
  <c r="Z20" i="3"/>
  <c r="Z63" i="3"/>
  <c r="Z18" i="3"/>
  <c r="Z116" i="3"/>
  <c r="Z119" i="3"/>
  <c r="Z33" i="3"/>
  <c r="Z38" i="3"/>
  <c r="Z5" i="3"/>
  <c r="Z29" i="3"/>
  <c r="Z11" i="3"/>
  <c r="Z16" i="3"/>
  <c r="Z71" i="3"/>
  <c r="Z90" i="3"/>
  <c r="Z108" i="3"/>
  <c r="Z145" i="3"/>
  <c r="Z4" i="3"/>
  <c r="Z128" i="3"/>
  <c r="Z6" i="3"/>
  <c r="Z72" i="3"/>
  <c r="Z76" i="3"/>
  <c r="Z130" i="3"/>
  <c r="Z163" i="3"/>
  <c r="Z101" i="3"/>
  <c r="Z54" i="3"/>
  <c r="Z109" i="3"/>
  <c r="Z8" i="3"/>
  <c r="Z40" i="3"/>
  <c r="Z65" i="3"/>
  <c r="Z105" i="3"/>
  <c r="Z42" i="3"/>
  <c r="Z70" i="3"/>
  <c r="Z144" i="3"/>
  <c r="Z17" i="3"/>
  <c r="Z23" i="3"/>
  <c r="Z28" i="3"/>
  <c r="Z50" i="3"/>
  <c r="Z52" i="3"/>
  <c r="Z136" i="3"/>
  <c r="Z154" i="3"/>
  <c r="Z19" i="3"/>
  <c r="Z46" i="3"/>
  <c r="Z56" i="3"/>
  <c r="Z115" i="3"/>
  <c r="Z62" i="3"/>
  <c r="Z67" i="3"/>
  <c r="Z75" i="3"/>
  <c r="Z98" i="3"/>
  <c r="Z121" i="3"/>
  <c r="Z12" i="3"/>
  <c r="Z26" i="3"/>
  <c r="Z36" i="3"/>
  <c r="Z41" i="3"/>
  <c r="Z141" i="3"/>
  <c r="Z159" i="3"/>
  <c r="Z15" i="3"/>
  <c r="Z47" i="3"/>
  <c r="Z51" i="3"/>
  <c r="Z55" i="3"/>
  <c r="Z79" i="3"/>
  <c r="Z106" i="3"/>
  <c r="Z123" i="3"/>
  <c r="Z125" i="3"/>
  <c r="Z151" i="3"/>
  <c r="Z22" i="3"/>
  <c r="Z64" i="3"/>
  <c r="Z68" i="3"/>
  <c r="Z91" i="3"/>
  <c r="Z113" i="3"/>
  <c r="Z152" i="3"/>
  <c r="Z9" i="3"/>
  <c r="Z27" i="3"/>
  <c r="Z31" i="3"/>
  <c r="Z35" i="3"/>
  <c r="Z39" i="3"/>
  <c r="Z43" i="3"/>
  <c r="Z74" i="3"/>
  <c r="Z83" i="3"/>
  <c r="Z88" i="3"/>
  <c r="Z100" i="3"/>
  <c r="Z73" i="3"/>
  <c r="Z77" i="3"/>
  <c r="Z81" i="3"/>
  <c r="Z103" i="3"/>
  <c r="Z129" i="3"/>
  <c r="Z92" i="3"/>
  <c r="Z102" i="3"/>
  <c r="Z124" i="3"/>
  <c r="Z146" i="3"/>
  <c r="Z110" i="3"/>
  <c r="Z134" i="3"/>
  <c r="Z132" i="3"/>
  <c r="Z137" i="3"/>
  <c r="Z142" i="3"/>
  <c r="Z107" i="3"/>
  <c r="Z112" i="3"/>
  <c r="Z117" i="3"/>
  <c r="Z122" i="3"/>
  <c r="Z155" i="3"/>
  <c r="Z127" i="3"/>
  <c r="Z131" i="3"/>
  <c r="Z135" i="3"/>
  <c r="Z139" i="3"/>
  <c r="Z143" i="3"/>
  <c r="Z147" i="3"/>
  <c r="Z150" i="3"/>
  <c r="Z165" i="3"/>
  <c r="Z153" i="3"/>
  <c r="Z157" i="3"/>
  <c r="Z162" i="3"/>
  <c r="Z167" i="3"/>
  <c r="Z156" i="3"/>
  <c r="Z160" i="3"/>
  <c r="Z164" i="3"/>
  <c r="Z168" i="3"/>
  <c r="BD154" i="3"/>
  <c r="BD90" i="3"/>
  <c r="BD38" i="3"/>
  <c r="BD50" i="3"/>
  <c r="BD91" i="3"/>
  <c r="BD48" i="3"/>
  <c r="BD30" i="3"/>
  <c r="BD77" i="3"/>
  <c r="BD156" i="3"/>
  <c r="BD39" i="3"/>
  <c r="BD121" i="3"/>
  <c r="BD101" i="3"/>
  <c r="BD164" i="3"/>
  <c r="BD76" i="3"/>
  <c r="BD116" i="3"/>
  <c r="BD17" i="3"/>
  <c r="BD36" i="3"/>
  <c r="BD56" i="3"/>
  <c r="BD44" i="3"/>
  <c r="BD20" i="3"/>
  <c r="BD46" i="3"/>
  <c r="BD127" i="3"/>
  <c r="BD86" i="3"/>
  <c r="BD9" i="3"/>
  <c r="BD7" i="3"/>
  <c r="BD65" i="3"/>
  <c r="BD23" i="3"/>
  <c r="BD52" i="3"/>
  <c r="BD144" i="3"/>
  <c r="BD11" i="3"/>
  <c r="BD32" i="3"/>
  <c r="BD74" i="3"/>
  <c r="BD51" i="3"/>
  <c r="BD22" i="3"/>
  <c r="BD15" i="3"/>
  <c r="BD34" i="3"/>
  <c r="BD61" i="3"/>
  <c r="BD67" i="3"/>
  <c r="BD123" i="3"/>
  <c r="BD110" i="3"/>
  <c r="BD55" i="3"/>
  <c r="BD100" i="3"/>
  <c r="BD149" i="3"/>
  <c r="BD16" i="3"/>
  <c r="BD21" i="3"/>
  <c r="BD81" i="3"/>
  <c r="BD114" i="3"/>
  <c r="BD108" i="3"/>
  <c r="BD64" i="3"/>
  <c r="BD92" i="3"/>
  <c r="BD111" i="3"/>
  <c r="BD94" i="3"/>
  <c r="BD27" i="3"/>
  <c r="BD132" i="3"/>
  <c r="BD26" i="3"/>
  <c r="BD14" i="3"/>
  <c r="BD152" i="3"/>
  <c r="BD40" i="3"/>
  <c r="BD96" i="3"/>
  <c r="BD115" i="3"/>
  <c r="BD18" i="3"/>
  <c r="BD58" i="3"/>
  <c r="BD87" i="3"/>
  <c r="BD31" i="3"/>
  <c r="BD54" i="3"/>
  <c r="BD131" i="3"/>
  <c r="BD139" i="3"/>
  <c r="BD153" i="3"/>
  <c r="BD89" i="3"/>
  <c r="BD112" i="3"/>
  <c r="BD122" i="3"/>
  <c r="BD159" i="3"/>
  <c r="BD85" i="3"/>
  <c r="BD93" i="3"/>
  <c r="BD99" i="3"/>
  <c r="BD105" i="3"/>
  <c r="BD134" i="3"/>
  <c r="BD161" i="3"/>
  <c r="BD4" i="3"/>
  <c r="BD6" i="3"/>
  <c r="BD35" i="3"/>
  <c r="BD73" i="3"/>
  <c r="BD130" i="3"/>
  <c r="BD8" i="3"/>
  <c r="BD135" i="3"/>
  <c r="BD142" i="3"/>
  <c r="BD13" i="3"/>
  <c r="BD43" i="3"/>
  <c r="BD47" i="3"/>
  <c r="BD69" i="3"/>
  <c r="BD72" i="3"/>
  <c r="BD78" i="3"/>
  <c r="BD109" i="3"/>
  <c r="BD10" i="3"/>
  <c r="BD28" i="3"/>
  <c r="BD63" i="3"/>
  <c r="BD120" i="3"/>
  <c r="BD125" i="3"/>
  <c r="BD140" i="3"/>
  <c r="BD42" i="3"/>
  <c r="BD68" i="3"/>
  <c r="BD83" i="3"/>
  <c r="BD150" i="3"/>
  <c r="BD5" i="3"/>
  <c r="BD49" i="3"/>
  <c r="BD53" i="3"/>
  <c r="BD57" i="3"/>
  <c r="BD80" i="3"/>
  <c r="BD106" i="3"/>
  <c r="BD147" i="3"/>
  <c r="BD12" i="3"/>
  <c r="BD62" i="3"/>
  <c r="BD66" i="3"/>
  <c r="BD70" i="3"/>
  <c r="BD19" i="3"/>
  <c r="BD25" i="3"/>
  <c r="BD29" i="3"/>
  <c r="BD33" i="3"/>
  <c r="BD37" i="3"/>
  <c r="BD41" i="3"/>
  <c r="BD84" i="3"/>
  <c r="BD95" i="3"/>
  <c r="BD103" i="3"/>
  <c r="BD128" i="3"/>
  <c r="BD71" i="3"/>
  <c r="BD75" i="3"/>
  <c r="BD79" i="3"/>
  <c r="BD97" i="3"/>
  <c r="BD165" i="3"/>
  <c r="BD98" i="3"/>
  <c r="BD107" i="3"/>
  <c r="BD136" i="3"/>
  <c r="BD88" i="3"/>
  <c r="BD117" i="3"/>
  <c r="BD146" i="3"/>
  <c r="BD138" i="3"/>
  <c r="BD102" i="3"/>
  <c r="BD119" i="3"/>
  <c r="BD124" i="3"/>
  <c r="BD143" i="3"/>
  <c r="BD113" i="3"/>
  <c r="BD118" i="3"/>
  <c r="BD167" i="3"/>
  <c r="BD129" i="3"/>
  <c r="BD133" i="3"/>
  <c r="BD137" i="3"/>
  <c r="BD141" i="3"/>
  <c r="BD145" i="3"/>
  <c r="BD155" i="3"/>
  <c r="BD157" i="3"/>
  <c r="BD160" i="3"/>
  <c r="BD169" i="3"/>
  <c r="BD151" i="3"/>
  <c r="BD163" i="3"/>
  <c r="BD168" i="3"/>
  <c r="BD158" i="3"/>
  <c r="BD162" i="3"/>
  <c r="BD166" i="3"/>
  <c r="H5" i="3"/>
  <c r="H120" i="3"/>
  <c r="H62" i="3"/>
  <c r="H74" i="3"/>
  <c r="H134" i="3"/>
  <c r="H141" i="3"/>
  <c r="H34" i="3"/>
  <c r="H67" i="3"/>
  <c r="H115" i="3"/>
  <c r="H137" i="3"/>
  <c r="H35" i="3"/>
  <c r="H42" i="3"/>
  <c r="H29" i="3"/>
  <c r="H11" i="3"/>
  <c r="H44" i="3"/>
  <c r="H127" i="3"/>
  <c r="H102" i="3"/>
  <c r="H7" i="3"/>
  <c r="H30" i="3"/>
  <c r="H54" i="3"/>
  <c r="H157" i="3"/>
  <c r="H79" i="3"/>
  <c r="H50" i="3"/>
  <c r="H40" i="3"/>
  <c r="H71" i="3"/>
  <c r="H94" i="3"/>
  <c r="H103" i="3"/>
  <c r="H96" i="3"/>
  <c r="H108" i="3"/>
  <c r="H26" i="3"/>
  <c r="H144" i="3"/>
  <c r="H10" i="3"/>
  <c r="H169" i="3"/>
  <c r="H20" i="3"/>
  <c r="H86" i="3"/>
  <c r="H165" i="3"/>
  <c r="H117" i="3"/>
  <c r="H153" i="3"/>
  <c r="H31" i="3"/>
  <c r="H83" i="3"/>
  <c r="H28" i="3"/>
  <c r="H116" i="3"/>
  <c r="H12" i="3"/>
  <c r="H33" i="3"/>
  <c r="H6" i="3"/>
  <c r="H66" i="3"/>
  <c r="H14" i="3"/>
  <c r="H99" i="3"/>
  <c r="H75" i="3"/>
  <c r="H64" i="3"/>
  <c r="H41" i="3"/>
  <c r="H53" i="3"/>
  <c r="H154" i="3"/>
  <c r="H65" i="3"/>
  <c r="H70" i="3"/>
  <c r="H123" i="3"/>
  <c r="H129" i="3"/>
  <c r="H37" i="3"/>
  <c r="H38" i="3"/>
  <c r="H58" i="3"/>
  <c r="H87" i="3"/>
  <c r="H48" i="3"/>
  <c r="H130" i="3"/>
  <c r="H147" i="3"/>
  <c r="H17" i="3"/>
  <c r="H43" i="3"/>
  <c r="H143" i="3"/>
  <c r="H46" i="3"/>
  <c r="H77" i="3"/>
  <c r="H149" i="3"/>
  <c r="H152" i="3"/>
  <c r="H136" i="3"/>
  <c r="H166" i="3"/>
  <c r="H9" i="3"/>
  <c r="H61" i="3"/>
  <c r="H84" i="3"/>
  <c r="H18" i="3"/>
  <c r="H19" i="3"/>
  <c r="H36" i="3"/>
  <c r="H107" i="3"/>
  <c r="H125" i="3"/>
  <c r="H22" i="3"/>
  <c r="H39" i="3"/>
  <c r="H78" i="3"/>
  <c r="H97" i="3"/>
  <c r="H112" i="3"/>
  <c r="H4" i="3"/>
  <c r="H88" i="3"/>
  <c r="H16" i="3"/>
  <c r="H25" i="3"/>
  <c r="H32" i="3"/>
  <c r="H49" i="3"/>
  <c r="H56" i="3"/>
  <c r="H69" i="3"/>
  <c r="H92" i="3"/>
  <c r="H95" i="3"/>
  <c r="H111" i="3"/>
  <c r="H119" i="3"/>
  <c r="H140" i="3"/>
  <c r="H68" i="3"/>
  <c r="H93" i="3"/>
  <c r="H139" i="3"/>
  <c r="H146" i="3"/>
  <c r="H167" i="3"/>
  <c r="H13" i="3"/>
  <c r="H23" i="3"/>
  <c r="H52" i="3"/>
  <c r="H57" i="3"/>
  <c r="H76" i="3"/>
  <c r="H113" i="3"/>
  <c r="H27" i="3"/>
  <c r="H63" i="3"/>
  <c r="H105" i="3"/>
  <c r="H124" i="3"/>
  <c r="H21" i="3"/>
  <c r="H132" i="3"/>
  <c r="H155" i="3"/>
  <c r="H8" i="3"/>
  <c r="H72" i="3"/>
  <c r="H80" i="3"/>
  <c r="H89" i="3"/>
  <c r="H109" i="3"/>
  <c r="H15" i="3"/>
  <c r="H47" i="3"/>
  <c r="H51" i="3"/>
  <c r="H55" i="3"/>
  <c r="H73" i="3"/>
  <c r="H98" i="3"/>
  <c r="H135" i="3"/>
  <c r="H142" i="3"/>
  <c r="H85" i="3"/>
  <c r="H90" i="3"/>
  <c r="H100" i="3"/>
  <c r="H150" i="3"/>
  <c r="H121" i="3"/>
  <c r="H131" i="3"/>
  <c r="H145" i="3"/>
  <c r="H81" i="3"/>
  <c r="H91" i="3"/>
  <c r="H101" i="3"/>
  <c r="H151" i="3"/>
  <c r="H162" i="3"/>
  <c r="H161" i="3"/>
  <c r="H128" i="3"/>
  <c r="H133" i="3"/>
  <c r="H138" i="3"/>
  <c r="H106" i="3"/>
  <c r="H110" i="3"/>
  <c r="H114" i="3"/>
  <c r="H118" i="3"/>
  <c r="H122" i="3"/>
  <c r="H159" i="3"/>
  <c r="H158" i="3"/>
  <c r="H163" i="3"/>
  <c r="H156" i="3"/>
  <c r="H160" i="3"/>
  <c r="H164" i="3"/>
  <c r="H168" i="3"/>
  <c r="U47" i="3"/>
  <c r="U15" i="3"/>
  <c r="U146" i="3"/>
  <c r="U111" i="3"/>
  <c r="U8" i="3"/>
  <c r="U151" i="3"/>
  <c r="U73" i="3"/>
  <c r="U22" i="3"/>
  <c r="U14" i="3"/>
  <c r="U75" i="3"/>
  <c r="U64" i="3"/>
  <c r="U112" i="3"/>
  <c r="U37" i="3"/>
  <c r="U43" i="3"/>
  <c r="U123" i="3"/>
  <c r="U97" i="3"/>
  <c r="U101" i="3"/>
  <c r="U103" i="3"/>
  <c r="U108" i="3"/>
  <c r="U119" i="3"/>
  <c r="U35" i="3"/>
  <c r="U54" i="3"/>
  <c r="U39" i="3"/>
  <c r="U12" i="3"/>
  <c r="U90" i="3"/>
  <c r="U46" i="3"/>
  <c r="U91" i="3"/>
  <c r="U93" i="3"/>
  <c r="U16" i="3"/>
  <c r="U53" i="3"/>
  <c r="U106" i="3"/>
  <c r="U145" i="3"/>
  <c r="U79" i="3"/>
  <c r="U6" i="3"/>
  <c r="U21" i="3"/>
  <c r="U57" i="3"/>
  <c r="U152" i="3"/>
  <c r="U137" i="3"/>
  <c r="U9" i="3"/>
  <c r="U68" i="3"/>
  <c r="U80" i="3"/>
  <c r="U13" i="3"/>
  <c r="U29" i="3"/>
  <c r="U72" i="3"/>
  <c r="U117" i="3"/>
  <c r="U11" i="3"/>
  <c r="U20" i="3"/>
  <c r="U27" i="3"/>
  <c r="U42" i="3"/>
  <c r="U70" i="3"/>
  <c r="U155" i="3"/>
  <c r="U62" i="3"/>
  <c r="U113" i="3"/>
  <c r="U118" i="3"/>
  <c r="U67" i="3"/>
  <c r="U92" i="3"/>
  <c r="U98" i="3"/>
  <c r="U19" i="3"/>
  <c r="U33" i="3"/>
  <c r="U49" i="3"/>
  <c r="U96" i="3"/>
  <c r="U105" i="3"/>
  <c r="U110" i="3"/>
  <c r="U51" i="3"/>
  <c r="U102" i="3"/>
  <c r="U135" i="3"/>
  <c r="U88" i="3"/>
  <c r="U142" i="3"/>
  <c r="U31" i="3"/>
  <c r="U41" i="3"/>
  <c r="U81" i="3"/>
  <c r="U124" i="3"/>
  <c r="U143" i="3"/>
  <c r="U164" i="3"/>
  <c r="U7" i="3"/>
  <c r="U34" i="3"/>
  <c r="U133" i="3"/>
  <c r="U58" i="3"/>
  <c r="U85" i="3"/>
  <c r="U100" i="3"/>
  <c r="U23" i="3"/>
  <c r="U50" i="3"/>
  <c r="U84" i="3"/>
  <c r="U38" i="3"/>
  <c r="U63" i="3"/>
  <c r="U83" i="3"/>
  <c r="U5" i="3"/>
  <c r="U26" i="3"/>
  <c r="U55" i="3"/>
  <c r="U162" i="3"/>
  <c r="U167" i="3"/>
  <c r="U66" i="3"/>
  <c r="U71" i="3"/>
  <c r="U99" i="3"/>
  <c r="U109" i="3"/>
  <c r="U141" i="3"/>
  <c r="U159" i="3"/>
  <c r="U18" i="3"/>
  <c r="U25" i="3"/>
  <c r="U30" i="3"/>
  <c r="U86" i="3"/>
  <c r="U125" i="3"/>
  <c r="U89" i="3"/>
  <c r="U134" i="3"/>
  <c r="U10" i="3"/>
  <c r="U48" i="3"/>
  <c r="U52" i="3"/>
  <c r="U56" i="3"/>
  <c r="U114" i="3"/>
  <c r="U147" i="3"/>
  <c r="U163" i="3"/>
  <c r="U17" i="3"/>
  <c r="U61" i="3"/>
  <c r="U65" i="3"/>
  <c r="U69" i="3"/>
  <c r="U76" i="3"/>
  <c r="U77" i="3"/>
  <c r="U87" i="3"/>
  <c r="U138" i="3"/>
  <c r="U4" i="3"/>
  <c r="U28" i="3"/>
  <c r="U32" i="3"/>
  <c r="U36" i="3"/>
  <c r="U40" i="3"/>
  <c r="U44" i="3"/>
  <c r="U129" i="3"/>
  <c r="U160" i="3"/>
  <c r="U74" i="3"/>
  <c r="U78" i="3"/>
  <c r="U94" i="3"/>
  <c r="U139" i="3"/>
  <c r="U120" i="3"/>
  <c r="U122" i="3"/>
  <c r="U95" i="3"/>
  <c r="U115" i="3"/>
  <c r="U127" i="3"/>
  <c r="U130" i="3"/>
  <c r="U107" i="3"/>
  <c r="U131" i="3"/>
  <c r="U153" i="3"/>
  <c r="U116" i="3"/>
  <c r="U121" i="3"/>
  <c r="U168" i="3"/>
  <c r="U149" i="3"/>
  <c r="U128" i="3"/>
  <c r="U132" i="3"/>
  <c r="U136" i="3"/>
  <c r="U140" i="3"/>
  <c r="U144" i="3"/>
  <c r="U158" i="3"/>
  <c r="U156" i="3"/>
  <c r="U166" i="3"/>
  <c r="U150" i="3"/>
  <c r="U154" i="3"/>
  <c r="U157" i="3"/>
  <c r="U161" i="3"/>
  <c r="U165" i="3"/>
  <c r="U169" i="3"/>
  <c r="AH159" i="3"/>
  <c r="AH66" i="3"/>
  <c r="AH103" i="3"/>
  <c r="AH167" i="3"/>
  <c r="AH64" i="3"/>
  <c r="AH73" i="3"/>
  <c r="AH141" i="3"/>
  <c r="AH150" i="3"/>
  <c r="AH23" i="3"/>
  <c r="AH42" i="3"/>
  <c r="AH71" i="3"/>
  <c r="AH31" i="3"/>
  <c r="AH57" i="3"/>
  <c r="AH83" i="3"/>
  <c r="AH61" i="3"/>
  <c r="AH4" i="3"/>
  <c r="AH9" i="3"/>
  <c r="AH77" i="3"/>
  <c r="AH100" i="3"/>
  <c r="AH102" i="3"/>
  <c r="AH15" i="3"/>
  <c r="AH34" i="3"/>
  <c r="AH75" i="3"/>
  <c r="AH136" i="3"/>
  <c r="AH18" i="3"/>
  <c r="AH128" i="3"/>
  <c r="AH14" i="3"/>
  <c r="AH21" i="3"/>
  <c r="AH8" i="3"/>
  <c r="AH55" i="3"/>
  <c r="AH44" i="3"/>
  <c r="AH26" i="3"/>
  <c r="AH70" i="3"/>
  <c r="AH78" i="3"/>
  <c r="AH94" i="3"/>
  <c r="AH5" i="3"/>
  <c r="AH115" i="3"/>
  <c r="AH165" i="3"/>
  <c r="AH50" i="3"/>
  <c r="AH96" i="3"/>
  <c r="AH116" i="3"/>
  <c r="AH58" i="3"/>
  <c r="AH74" i="3"/>
  <c r="AH20" i="3"/>
  <c r="AH40" i="3"/>
  <c r="AH46" i="3"/>
  <c r="AH65" i="3"/>
  <c r="AH52" i="3"/>
  <c r="AH93" i="3"/>
  <c r="AH7" i="3"/>
  <c r="AH35" i="3"/>
  <c r="AH68" i="3"/>
  <c r="AH107" i="3"/>
  <c r="AH36" i="3"/>
  <c r="AH86" i="3"/>
  <c r="AH108" i="3"/>
  <c r="AH112" i="3"/>
  <c r="AH90" i="3"/>
  <c r="AH147" i="3"/>
  <c r="AH154" i="3"/>
  <c r="AH11" i="3"/>
  <c r="AH12" i="3"/>
  <c r="AH137" i="3"/>
  <c r="AH27" i="3"/>
  <c r="AH62" i="3"/>
  <c r="AH135" i="3"/>
  <c r="AH140" i="3"/>
  <c r="AH151" i="3"/>
  <c r="AH38" i="3"/>
  <c r="AH51" i="3"/>
  <c r="AH87" i="3"/>
  <c r="AH95" i="3"/>
  <c r="AH106" i="3"/>
  <c r="AH130" i="3"/>
  <c r="AH22" i="3"/>
  <c r="AH39" i="3"/>
  <c r="AH118" i="3"/>
  <c r="AH134" i="3"/>
  <c r="AH149" i="3"/>
  <c r="AH30" i="3"/>
  <c r="AH54" i="3"/>
  <c r="AH79" i="3"/>
  <c r="AH132" i="3"/>
  <c r="AH16" i="3"/>
  <c r="AH32" i="3"/>
  <c r="AH49" i="3"/>
  <c r="AH56" i="3"/>
  <c r="AH67" i="3"/>
  <c r="AH81" i="3"/>
  <c r="AH127" i="3"/>
  <c r="AH139" i="3"/>
  <c r="AH17" i="3"/>
  <c r="AH48" i="3"/>
  <c r="AH53" i="3"/>
  <c r="AH123" i="3"/>
  <c r="AH161" i="3"/>
  <c r="AH43" i="3"/>
  <c r="AH47" i="3"/>
  <c r="AH69" i="3"/>
  <c r="AH85" i="3"/>
  <c r="AH158" i="3"/>
  <c r="AH10" i="3"/>
  <c r="AH28" i="3"/>
  <c r="AH63" i="3"/>
  <c r="AH72" i="3"/>
  <c r="AH76" i="3"/>
  <c r="AH91" i="3"/>
  <c r="AH97" i="3"/>
  <c r="AH110" i="3"/>
  <c r="AH142" i="3"/>
  <c r="AH156" i="3"/>
  <c r="AH19" i="3"/>
  <c r="AH25" i="3"/>
  <c r="AH29" i="3"/>
  <c r="AH33" i="3"/>
  <c r="AH37" i="3"/>
  <c r="AH41" i="3"/>
  <c r="AH89" i="3"/>
  <c r="AH101" i="3"/>
  <c r="AH111" i="3"/>
  <c r="AH122" i="3"/>
  <c r="AH166" i="3"/>
  <c r="AH6" i="3"/>
  <c r="AH80" i="3"/>
  <c r="AH92" i="3"/>
  <c r="AH120" i="3"/>
  <c r="AH157" i="3"/>
  <c r="AH13" i="3"/>
  <c r="AH105" i="3"/>
  <c r="AH146" i="3"/>
  <c r="AH133" i="3"/>
  <c r="AH84" i="3"/>
  <c r="AH88" i="3"/>
  <c r="AH98" i="3"/>
  <c r="AH131" i="3"/>
  <c r="AH145" i="3"/>
  <c r="AH160" i="3"/>
  <c r="AH99" i="3"/>
  <c r="AH114" i="3"/>
  <c r="AH153" i="3"/>
  <c r="AH155" i="3"/>
  <c r="AH129" i="3"/>
  <c r="AH144" i="3"/>
  <c r="AH138" i="3"/>
  <c r="AH162" i="3"/>
  <c r="AH119" i="3"/>
  <c r="AH124" i="3"/>
  <c r="AH143" i="3"/>
  <c r="AH152" i="3"/>
  <c r="AH164" i="3"/>
  <c r="AH109" i="3"/>
  <c r="AH113" i="3"/>
  <c r="AH117" i="3"/>
  <c r="AH121" i="3"/>
  <c r="AH125" i="3"/>
  <c r="AH169" i="3"/>
  <c r="AH163" i="3"/>
  <c r="AH168" i="3"/>
  <c r="AR20" i="3"/>
  <c r="AR62" i="3"/>
  <c r="AR49" i="3"/>
  <c r="AR101" i="3"/>
  <c r="AR88" i="3"/>
  <c r="AR44" i="3"/>
  <c r="AR81" i="3"/>
  <c r="AR110" i="3"/>
  <c r="AR50" i="3"/>
  <c r="AR159" i="3"/>
  <c r="AR58" i="3"/>
  <c r="AR142" i="3"/>
  <c r="AR147" i="3"/>
  <c r="AR134" i="3"/>
  <c r="AR56" i="3"/>
  <c r="AR7" i="3"/>
  <c r="AR80" i="3"/>
  <c r="AR83" i="3"/>
  <c r="AR128" i="3"/>
  <c r="AR55" i="3"/>
  <c r="AR70" i="3"/>
  <c r="AR122" i="3"/>
  <c r="AR12" i="3"/>
  <c r="AR63" i="3"/>
  <c r="AR130" i="3"/>
  <c r="AR11" i="3"/>
  <c r="AR91" i="3"/>
  <c r="AR57" i="3"/>
  <c r="AR33" i="3"/>
  <c r="AR65" i="3"/>
  <c r="AR22" i="3"/>
  <c r="AR52" i="3"/>
  <c r="AR42" i="3"/>
  <c r="AR4" i="3"/>
  <c r="AR41" i="3"/>
  <c r="AR120" i="3"/>
  <c r="AR51" i="3"/>
  <c r="AR14" i="3"/>
  <c r="AR136" i="3"/>
  <c r="AR48" i="3"/>
  <c r="AR67" i="3"/>
  <c r="AR54" i="3"/>
  <c r="AR78" i="3"/>
  <c r="AR143" i="3"/>
  <c r="AR19" i="3"/>
  <c r="AR10" i="3"/>
  <c r="AR15" i="3"/>
  <c r="AR26" i="3"/>
  <c r="AR6" i="3"/>
  <c r="AR28" i="3"/>
  <c r="AR34" i="3"/>
  <c r="AR100" i="3"/>
  <c r="AR76" i="3"/>
  <c r="AR85" i="3"/>
  <c r="AR112" i="3"/>
  <c r="AR17" i="3"/>
  <c r="AR32" i="3"/>
  <c r="AR36" i="3"/>
  <c r="AR47" i="3"/>
  <c r="AR95" i="3"/>
  <c r="AR144" i="3"/>
  <c r="AR157" i="3"/>
  <c r="AR169" i="3"/>
  <c r="AR38" i="3"/>
  <c r="AR103" i="3"/>
  <c r="AR138" i="3"/>
  <c r="AR13" i="3"/>
  <c r="AR64" i="3"/>
  <c r="AR69" i="3"/>
  <c r="AR133" i="3"/>
  <c r="AR165" i="3"/>
  <c r="AR37" i="3"/>
  <c r="AR127" i="3"/>
  <c r="AR73" i="3"/>
  <c r="AR99" i="3"/>
  <c r="AR150" i="3"/>
  <c r="AR46" i="3"/>
  <c r="AR72" i="3"/>
  <c r="AR92" i="3"/>
  <c r="AR8" i="3"/>
  <c r="AR102" i="3"/>
  <c r="AR129" i="3"/>
  <c r="AR140" i="3"/>
  <c r="AR21" i="3"/>
  <c r="AR68" i="3"/>
  <c r="AR98" i="3"/>
  <c r="AR145" i="3"/>
  <c r="AR5" i="3"/>
  <c r="AR29" i="3"/>
  <c r="AR53" i="3"/>
  <c r="AR114" i="3"/>
  <c r="AR71" i="3"/>
  <c r="AR89" i="3"/>
  <c r="AR97" i="3"/>
  <c r="AR153" i="3"/>
  <c r="AR61" i="3"/>
  <c r="AR66" i="3"/>
  <c r="AR124" i="3"/>
  <c r="AR155" i="3"/>
  <c r="AR18" i="3"/>
  <c r="AR25" i="3"/>
  <c r="AR30" i="3"/>
  <c r="AR40" i="3"/>
  <c r="AR79" i="3"/>
  <c r="AR84" i="3"/>
  <c r="AR96" i="3"/>
  <c r="AR139" i="3"/>
  <c r="AR146" i="3"/>
  <c r="AR152" i="3"/>
  <c r="AR74" i="3"/>
  <c r="AR9" i="3"/>
  <c r="AR27" i="3"/>
  <c r="AR31" i="3"/>
  <c r="AR35" i="3"/>
  <c r="AR39" i="3"/>
  <c r="AR43" i="3"/>
  <c r="AR118" i="3"/>
  <c r="AR162" i="3"/>
  <c r="AR16" i="3"/>
  <c r="AR75" i="3"/>
  <c r="AR87" i="3"/>
  <c r="AR117" i="3"/>
  <c r="AR23" i="3"/>
  <c r="AR77" i="3"/>
  <c r="AR90" i="3"/>
  <c r="AR109" i="3"/>
  <c r="AR141" i="3"/>
  <c r="AR164" i="3"/>
  <c r="AR167" i="3"/>
  <c r="AR93" i="3"/>
  <c r="AR108" i="3"/>
  <c r="AR125" i="3"/>
  <c r="AR132" i="3"/>
  <c r="AR86" i="3"/>
  <c r="AR94" i="3"/>
  <c r="AR113" i="3"/>
  <c r="AR135" i="3"/>
  <c r="AR137" i="3"/>
  <c r="AR105" i="3"/>
  <c r="AR106" i="3"/>
  <c r="AR131" i="3"/>
  <c r="AR158" i="3"/>
  <c r="AR160" i="3"/>
  <c r="AR116" i="3"/>
  <c r="AR121" i="3"/>
  <c r="AR151" i="3"/>
  <c r="AR163" i="3"/>
  <c r="AR107" i="3"/>
  <c r="AR111" i="3"/>
  <c r="AR115" i="3"/>
  <c r="AR119" i="3"/>
  <c r="AR123" i="3"/>
  <c r="AR149" i="3"/>
  <c r="AR154" i="3"/>
  <c r="AR168" i="3"/>
  <c r="AR156" i="3"/>
  <c r="AR161" i="3"/>
  <c r="AR166" i="3"/>
  <c r="AJ23" i="3"/>
  <c r="AJ88" i="3"/>
  <c r="AJ65" i="3"/>
  <c r="AJ99" i="3"/>
  <c r="AJ146" i="3"/>
  <c r="AJ78" i="3"/>
  <c r="AJ108" i="3"/>
  <c r="AJ26" i="3"/>
  <c r="AJ95" i="3"/>
  <c r="AJ142" i="3"/>
  <c r="AJ40" i="3"/>
  <c r="AJ103" i="3"/>
  <c r="AJ92" i="3"/>
  <c r="AJ51" i="3"/>
  <c r="AJ119" i="3"/>
  <c r="AJ150" i="3"/>
  <c r="AJ73" i="3"/>
  <c r="AJ14" i="3"/>
  <c r="AJ127" i="3"/>
  <c r="AJ55" i="3"/>
  <c r="AJ160" i="3"/>
  <c r="AJ124" i="3"/>
  <c r="AJ42" i="3"/>
  <c r="AJ47" i="3"/>
  <c r="AJ155" i="3"/>
  <c r="AJ34" i="3"/>
  <c r="AJ43" i="3"/>
  <c r="AJ77" i="3"/>
  <c r="AJ100" i="3"/>
  <c r="AJ15" i="3"/>
  <c r="AJ56" i="3"/>
  <c r="AJ130" i="3"/>
  <c r="AJ117" i="3"/>
  <c r="AJ8" i="3"/>
  <c r="AJ67" i="3"/>
  <c r="AJ156" i="3"/>
  <c r="AJ54" i="3"/>
  <c r="AJ58" i="3"/>
  <c r="AJ74" i="3"/>
  <c r="AJ90" i="3"/>
  <c r="AJ106" i="3"/>
  <c r="AJ136" i="3"/>
  <c r="AJ76" i="3"/>
  <c r="AJ32" i="3"/>
  <c r="AJ165" i="3"/>
  <c r="AJ46" i="3"/>
  <c r="AJ84" i="3"/>
  <c r="AJ52" i="3"/>
  <c r="AJ21" i="3"/>
  <c r="AJ30" i="3"/>
  <c r="AJ31" i="3"/>
  <c r="AJ168" i="3"/>
  <c r="AJ6" i="3"/>
  <c r="AJ7" i="3"/>
  <c r="AJ35" i="3"/>
  <c r="AJ68" i="3"/>
  <c r="AJ81" i="3"/>
  <c r="AJ107" i="3"/>
  <c r="AJ113" i="3"/>
  <c r="AJ10" i="3"/>
  <c r="AJ16" i="3"/>
  <c r="AJ50" i="3"/>
  <c r="AJ61" i="3"/>
  <c r="AJ91" i="3"/>
  <c r="AJ9" i="3"/>
  <c r="AJ18" i="3"/>
  <c r="AJ36" i="3"/>
  <c r="AJ63" i="3"/>
  <c r="AJ83" i="3"/>
  <c r="AJ11" i="3"/>
  <c r="AJ28" i="3"/>
  <c r="AJ72" i="3"/>
  <c r="AJ94" i="3"/>
  <c r="AJ27" i="3"/>
  <c r="AJ69" i="3"/>
  <c r="AJ125" i="3"/>
  <c r="AJ147" i="3"/>
  <c r="AJ13" i="3"/>
  <c r="AJ22" i="3"/>
  <c r="AJ39" i="3"/>
  <c r="AJ110" i="3"/>
  <c r="AJ118" i="3"/>
  <c r="AJ134" i="3"/>
  <c r="AJ149" i="3"/>
  <c r="AJ4" i="3"/>
  <c r="AJ44" i="3"/>
  <c r="AJ80" i="3"/>
  <c r="AJ87" i="3"/>
  <c r="AJ131" i="3"/>
  <c r="AJ132" i="3"/>
  <c r="AJ20" i="3"/>
  <c r="AJ38" i="3"/>
  <c r="AJ64" i="3"/>
  <c r="AJ93" i="3"/>
  <c r="AJ112" i="3"/>
  <c r="AJ17" i="3"/>
  <c r="AJ48" i="3"/>
  <c r="AJ5" i="3"/>
  <c r="AJ49" i="3"/>
  <c r="AJ53" i="3"/>
  <c r="AJ57" i="3"/>
  <c r="AJ86" i="3"/>
  <c r="AJ96" i="3"/>
  <c r="AJ143" i="3"/>
  <c r="AJ169" i="3"/>
  <c r="AJ12" i="3"/>
  <c r="AJ62" i="3"/>
  <c r="AJ66" i="3"/>
  <c r="AJ70" i="3"/>
  <c r="AJ85" i="3"/>
  <c r="AJ135" i="3"/>
  <c r="AJ153" i="3"/>
  <c r="AJ19" i="3"/>
  <c r="AJ25" i="3"/>
  <c r="AJ29" i="3"/>
  <c r="AJ33" i="3"/>
  <c r="AJ37" i="3"/>
  <c r="AJ41" i="3"/>
  <c r="AJ89" i="3"/>
  <c r="AJ101" i="3"/>
  <c r="AJ111" i="3"/>
  <c r="AJ122" i="3"/>
  <c r="AJ71" i="3"/>
  <c r="AJ75" i="3"/>
  <c r="AJ79" i="3"/>
  <c r="AJ105" i="3"/>
  <c r="AJ121" i="3"/>
  <c r="AJ128" i="3"/>
  <c r="AJ157" i="3"/>
  <c r="AJ167" i="3"/>
  <c r="AJ97" i="3"/>
  <c r="AJ116" i="3"/>
  <c r="AJ123" i="3"/>
  <c r="AJ138" i="3"/>
  <c r="AJ140" i="3"/>
  <c r="AJ161" i="3"/>
  <c r="AJ98" i="3"/>
  <c r="AJ115" i="3"/>
  <c r="AJ120" i="3"/>
  <c r="AJ139" i="3"/>
  <c r="AJ102" i="3"/>
  <c r="AJ109" i="3"/>
  <c r="AJ114" i="3"/>
  <c r="AJ154" i="3"/>
  <c r="AJ163" i="3"/>
  <c r="AJ144" i="3"/>
  <c r="AJ129" i="3"/>
  <c r="AJ133" i="3"/>
  <c r="AJ137" i="3"/>
  <c r="AJ141" i="3"/>
  <c r="AJ145" i="3"/>
  <c r="AJ152" i="3"/>
  <c r="AJ159" i="3"/>
  <c r="AJ164" i="3"/>
  <c r="AJ151" i="3"/>
  <c r="AJ158" i="3"/>
  <c r="AJ162" i="3"/>
  <c r="AJ166" i="3"/>
  <c r="J52" i="3"/>
  <c r="J76" i="3"/>
  <c r="J115" i="3"/>
  <c r="J29" i="3"/>
  <c r="J53" i="3"/>
  <c r="J37" i="3"/>
  <c r="J8" i="3"/>
  <c r="J17" i="3"/>
  <c r="J145" i="3"/>
  <c r="J61" i="3"/>
  <c r="J16" i="3"/>
  <c r="J137" i="3"/>
  <c r="J19" i="3"/>
  <c r="J113" i="3"/>
  <c r="J157" i="3"/>
  <c r="J79" i="3"/>
  <c r="J18" i="3"/>
  <c r="J49" i="3"/>
  <c r="J5" i="3"/>
  <c r="J144" i="3"/>
  <c r="J44" i="3"/>
  <c r="J88" i="3"/>
  <c r="J40" i="3"/>
  <c r="J151" i="3"/>
  <c r="J36" i="3"/>
  <c r="J56" i="3"/>
  <c r="J11" i="3"/>
  <c r="J81" i="3"/>
  <c r="J50" i="3"/>
  <c r="J86" i="3"/>
  <c r="J156" i="3"/>
  <c r="J62" i="3"/>
  <c r="J83" i="3"/>
  <c r="J102" i="3"/>
  <c r="J57" i="3"/>
  <c r="J75" i="3"/>
  <c r="J125" i="3"/>
  <c r="J120" i="3"/>
  <c r="J6" i="3"/>
  <c r="J66" i="3"/>
  <c r="J84" i="3"/>
  <c r="J35" i="3"/>
  <c r="J94" i="3"/>
  <c r="J121" i="3"/>
  <c r="J31" i="3"/>
  <c r="J55" i="3"/>
  <c r="J127" i="3"/>
  <c r="J51" i="3"/>
  <c r="J9" i="3"/>
  <c r="J80" i="3"/>
  <c r="J32" i="3"/>
  <c r="J48" i="3"/>
  <c r="J129" i="3"/>
  <c r="J147" i="3"/>
  <c r="J54" i="3"/>
  <c r="J13" i="3"/>
  <c r="J65" i="3"/>
  <c r="J73" i="3"/>
  <c r="J111" i="3"/>
  <c r="J70" i="3"/>
  <c r="J105" i="3"/>
  <c r="J4" i="3"/>
  <c r="J15" i="3"/>
  <c r="J23" i="3"/>
  <c r="J25" i="3"/>
  <c r="J74" i="3"/>
  <c r="J131" i="3"/>
  <c r="J136" i="3"/>
  <c r="J166" i="3"/>
  <c r="J77" i="3"/>
  <c r="J149" i="3"/>
  <c r="J12" i="3"/>
  <c r="J41" i="3"/>
  <c r="J46" i="3"/>
  <c r="J98" i="3"/>
  <c r="J117" i="3"/>
  <c r="J135" i="3"/>
  <c r="J27" i="3"/>
  <c r="J58" i="3"/>
  <c r="J64" i="3"/>
  <c r="J107" i="3"/>
  <c r="J22" i="3"/>
  <c r="J39" i="3"/>
  <c r="J72" i="3"/>
  <c r="J78" i="3"/>
  <c r="J97" i="3"/>
  <c r="J112" i="3"/>
  <c r="J43" i="3"/>
  <c r="J47" i="3"/>
  <c r="J69" i="3"/>
  <c r="J87" i="3"/>
  <c r="J96" i="3"/>
  <c r="J162" i="3"/>
  <c r="J10" i="3"/>
  <c r="J20" i="3"/>
  <c r="J28" i="3"/>
  <c r="J33" i="3"/>
  <c r="J153" i="3"/>
  <c r="J68" i="3"/>
  <c r="J93" i="3"/>
  <c r="J106" i="3"/>
  <c r="J139" i="3"/>
  <c r="J160" i="3"/>
  <c r="J167" i="3"/>
  <c r="J7" i="3"/>
  <c r="J63" i="3"/>
  <c r="J67" i="3"/>
  <c r="J71" i="3"/>
  <c r="J101" i="3"/>
  <c r="J141" i="3"/>
  <c r="J165" i="3"/>
  <c r="J14" i="3"/>
  <c r="J26" i="3"/>
  <c r="J30" i="3"/>
  <c r="J34" i="3"/>
  <c r="J38" i="3"/>
  <c r="J42" i="3"/>
  <c r="J92" i="3"/>
  <c r="J108" i="3"/>
  <c r="J21" i="3"/>
  <c r="J132" i="3"/>
  <c r="J155" i="3"/>
  <c r="J89" i="3"/>
  <c r="J128" i="3"/>
  <c r="J116" i="3"/>
  <c r="J123" i="3"/>
  <c r="J140" i="3"/>
  <c r="J158" i="3"/>
  <c r="J163" i="3"/>
  <c r="J85" i="3"/>
  <c r="J90" i="3"/>
  <c r="J100" i="3"/>
  <c r="J133" i="3"/>
  <c r="J150" i="3"/>
  <c r="J91" i="3"/>
  <c r="J95" i="3"/>
  <c r="J99" i="3"/>
  <c r="J103" i="3"/>
  <c r="J109" i="3"/>
  <c r="J119" i="3"/>
  <c r="J124" i="3"/>
  <c r="J143" i="3"/>
  <c r="J154" i="3"/>
  <c r="J161" i="3"/>
  <c r="J130" i="3"/>
  <c r="J134" i="3"/>
  <c r="J138" i="3"/>
  <c r="J142" i="3"/>
  <c r="J146" i="3"/>
  <c r="J110" i="3"/>
  <c r="J114" i="3"/>
  <c r="J118" i="3"/>
  <c r="J122" i="3"/>
  <c r="J164" i="3"/>
  <c r="J152" i="3"/>
  <c r="J159" i="3"/>
  <c r="J169" i="3"/>
  <c r="J168" i="3"/>
  <c r="AO131" i="3"/>
  <c r="AO55" i="3"/>
  <c r="AO19" i="3"/>
  <c r="AO26" i="3"/>
  <c r="AO84" i="3"/>
  <c r="AO80" i="3"/>
  <c r="AO64" i="3"/>
  <c r="AO50" i="3"/>
  <c r="AO81" i="3"/>
  <c r="AO27" i="3"/>
  <c r="AO100" i="3"/>
  <c r="AO83" i="3"/>
  <c r="AO72" i="3"/>
  <c r="AO39" i="3"/>
  <c r="AO51" i="3"/>
  <c r="AO94" i="3"/>
  <c r="AO6" i="3"/>
  <c r="AO53" i="3"/>
  <c r="AO152" i="3"/>
  <c r="AO16" i="3"/>
  <c r="AO67" i="3"/>
  <c r="AO75" i="3"/>
  <c r="AO109" i="3"/>
  <c r="AO62" i="3"/>
  <c r="AO113" i="3"/>
  <c r="AO42" i="3"/>
  <c r="AO124" i="3"/>
  <c r="AO158" i="3"/>
  <c r="AO66" i="3"/>
  <c r="AO73" i="3"/>
  <c r="AO68" i="3"/>
  <c r="AO9" i="3"/>
  <c r="AO115" i="3"/>
  <c r="AO23" i="3"/>
  <c r="AO33" i="3"/>
  <c r="AO119" i="3"/>
  <c r="AO38" i="3"/>
  <c r="AO98" i="3"/>
  <c r="AO18" i="3"/>
  <c r="AO5" i="3"/>
  <c r="AO101" i="3"/>
  <c r="AO122" i="3"/>
  <c r="AO143" i="3"/>
  <c r="AO63" i="3"/>
  <c r="AO156" i="3"/>
  <c r="AO85" i="3"/>
  <c r="AO71" i="3"/>
  <c r="AO146" i="3"/>
  <c r="AO114" i="3"/>
  <c r="AO30" i="3"/>
  <c r="AO79" i="3"/>
  <c r="AO86" i="3"/>
  <c r="AO116" i="3"/>
  <c r="AO117" i="3"/>
  <c r="AO37" i="3"/>
  <c r="AO127" i="3"/>
  <c r="AO43" i="3"/>
  <c r="AO164" i="3"/>
  <c r="AO167" i="3"/>
  <c r="AO153" i="3"/>
  <c r="AO57" i="3"/>
  <c r="AO97" i="3"/>
  <c r="AO121" i="3"/>
  <c r="AO89" i="3"/>
  <c r="AO112" i="3"/>
  <c r="AO139" i="3"/>
  <c r="AO141" i="3"/>
  <c r="AO8" i="3"/>
  <c r="AO25" i="3"/>
  <c r="AO147" i="3"/>
  <c r="AO129" i="3"/>
  <c r="AO47" i="3"/>
  <c r="AO123" i="3"/>
  <c r="AO13" i="3"/>
  <c r="AO20" i="3"/>
  <c r="AO22" i="3"/>
  <c r="AO77" i="3"/>
  <c r="AO151" i="3"/>
  <c r="AO15" i="3"/>
  <c r="AO31" i="3"/>
  <c r="AO58" i="3"/>
  <c r="AO7" i="3"/>
  <c r="AO91" i="3"/>
  <c r="AO137" i="3"/>
  <c r="AO12" i="3"/>
  <c r="AO41" i="3"/>
  <c r="AO46" i="3"/>
  <c r="AO88" i="3"/>
  <c r="AO92" i="3"/>
  <c r="AO11" i="3"/>
  <c r="AO21" i="3"/>
  <c r="AO35" i="3"/>
  <c r="AO49" i="3"/>
  <c r="AO54" i="3"/>
  <c r="AO103" i="3"/>
  <c r="AO70" i="3"/>
  <c r="AO105" i="3"/>
  <c r="AO163" i="3"/>
  <c r="AO14" i="3"/>
  <c r="AO29" i="3"/>
  <c r="AO34" i="3"/>
  <c r="AO87" i="3"/>
  <c r="AO90" i="3"/>
  <c r="AO93" i="3"/>
  <c r="AO106" i="3"/>
  <c r="AO138" i="3"/>
  <c r="AO10" i="3"/>
  <c r="AO48" i="3"/>
  <c r="AO52" i="3"/>
  <c r="AO56" i="3"/>
  <c r="AO76" i="3"/>
  <c r="AO99" i="3"/>
  <c r="AO102" i="3"/>
  <c r="AO108" i="3"/>
  <c r="AO133" i="3"/>
  <c r="AO159" i="3"/>
  <c r="AO17" i="3"/>
  <c r="AO61" i="3"/>
  <c r="AO65" i="3"/>
  <c r="AO69" i="3"/>
  <c r="AO107" i="3"/>
  <c r="AO134" i="3"/>
  <c r="AO4" i="3"/>
  <c r="AO28" i="3"/>
  <c r="AO32" i="3"/>
  <c r="AO36" i="3"/>
  <c r="AO40" i="3"/>
  <c r="AO44" i="3"/>
  <c r="AO96" i="3"/>
  <c r="AO74" i="3"/>
  <c r="AO78" i="3"/>
  <c r="AO162" i="3"/>
  <c r="AO168" i="3"/>
  <c r="AO95" i="3"/>
  <c r="AO118" i="3"/>
  <c r="AO142" i="3"/>
  <c r="AO130" i="3"/>
  <c r="AO145" i="3"/>
  <c r="AO111" i="3"/>
  <c r="AO135" i="3"/>
  <c r="AO149" i="3"/>
  <c r="AO110" i="3"/>
  <c r="AO120" i="3"/>
  <c r="AO125" i="3"/>
  <c r="AO128" i="3"/>
  <c r="AO132" i="3"/>
  <c r="AO136" i="3"/>
  <c r="AO140" i="3"/>
  <c r="AO144" i="3"/>
  <c r="AO166" i="3"/>
  <c r="AO150" i="3"/>
  <c r="AO154" i="3"/>
  <c r="AO155" i="3"/>
  <c r="AO160" i="3"/>
  <c r="AO157" i="3"/>
  <c r="AO161" i="3"/>
  <c r="AO165" i="3"/>
  <c r="AO169" i="3"/>
  <c r="AY93" i="3"/>
  <c r="AY164" i="3"/>
  <c r="AY35" i="3"/>
  <c r="AY154" i="3"/>
  <c r="AY36" i="3"/>
  <c r="AY121" i="3"/>
  <c r="AY44" i="3"/>
  <c r="AY62" i="3"/>
  <c r="AY87" i="3"/>
  <c r="AY69" i="3"/>
  <c r="AY12" i="3"/>
  <c r="AY97" i="3"/>
  <c r="AY9" i="3"/>
  <c r="AY18" i="3"/>
  <c r="AY98" i="3"/>
  <c r="AY5" i="3"/>
  <c r="AY11" i="3"/>
  <c r="AY94" i="3"/>
  <c r="AY141" i="3"/>
  <c r="AY40" i="3"/>
  <c r="AY166" i="3"/>
  <c r="AY64" i="3"/>
  <c r="AY110" i="3"/>
  <c r="AY13" i="3"/>
  <c r="AY129" i="3"/>
  <c r="AY66" i="3"/>
  <c r="AY29" i="3"/>
  <c r="AY31" i="3"/>
  <c r="AY83" i="3"/>
  <c r="AY149" i="3"/>
  <c r="AY136" i="3"/>
  <c r="AY107" i="3"/>
  <c r="AY27" i="3"/>
  <c r="AY65" i="3"/>
  <c r="AY133" i="3"/>
  <c r="AY135" i="3"/>
  <c r="AY47" i="3"/>
  <c r="AY162" i="3"/>
  <c r="AY4" i="3"/>
  <c r="AY41" i="3"/>
  <c r="AY53" i="3"/>
  <c r="AY105" i="3"/>
  <c r="AY145" i="3"/>
  <c r="AY88" i="3"/>
  <c r="AY8" i="3"/>
  <c r="AY15" i="3"/>
  <c r="AY51" i="3"/>
  <c r="AY81" i="3"/>
  <c r="AY39" i="3"/>
  <c r="AY61" i="3"/>
  <c r="AY89" i="3"/>
  <c r="AY96" i="3"/>
  <c r="AY143" i="3"/>
  <c r="AY49" i="3"/>
  <c r="AY101" i="3"/>
  <c r="AY73" i="3"/>
  <c r="AY25" i="3"/>
  <c r="AY48" i="3"/>
  <c r="AY125" i="3"/>
  <c r="AY10" i="3"/>
  <c r="AY21" i="3"/>
  <c r="AY168" i="3"/>
  <c r="AY144" i="3"/>
  <c r="AY33" i="3"/>
  <c r="AY68" i="3"/>
  <c r="AY120" i="3"/>
  <c r="AY160" i="3"/>
  <c r="AY43" i="3"/>
  <c r="AY57" i="3"/>
  <c r="AY74" i="3"/>
  <c r="AY78" i="3"/>
  <c r="AY115" i="3"/>
  <c r="AY55" i="3"/>
  <c r="AY70" i="3"/>
  <c r="AY156" i="3"/>
  <c r="AY17" i="3"/>
  <c r="AY23" i="3"/>
  <c r="AY28" i="3"/>
  <c r="AY52" i="3"/>
  <c r="AY77" i="3"/>
  <c r="AY85" i="3"/>
  <c r="AY111" i="3"/>
  <c r="AY102" i="3"/>
  <c r="AY106" i="3"/>
  <c r="AY109" i="3"/>
  <c r="AY112" i="3"/>
  <c r="AY6" i="3"/>
  <c r="AY16" i="3"/>
  <c r="AY32" i="3"/>
  <c r="AY37" i="3"/>
  <c r="AY118" i="3"/>
  <c r="AY150" i="3"/>
  <c r="AY157" i="3"/>
  <c r="AY114" i="3"/>
  <c r="AY19" i="3"/>
  <c r="AY22" i="3"/>
  <c r="AY56" i="3"/>
  <c r="AY75" i="3"/>
  <c r="AY86" i="3"/>
  <c r="AY92" i="3"/>
  <c r="AY95" i="3"/>
  <c r="AY99" i="3"/>
  <c r="AY119" i="3"/>
  <c r="AY161" i="3"/>
  <c r="AY20" i="3"/>
  <c r="AY46" i="3"/>
  <c r="AY50" i="3"/>
  <c r="AY54" i="3"/>
  <c r="AY58" i="3"/>
  <c r="AY71" i="3"/>
  <c r="AY84" i="3"/>
  <c r="AY116" i="3"/>
  <c r="AY128" i="3"/>
  <c r="AY7" i="3"/>
  <c r="AY63" i="3"/>
  <c r="AY67" i="3"/>
  <c r="AY140" i="3"/>
  <c r="AY14" i="3"/>
  <c r="AY26" i="3"/>
  <c r="AY30" i="3"/>
  <c r="AY34" i="3"/>
  <c r="AY38" i="3"/>
  <c r="AY42" i="3"/>
  <c r="AY79" i="3"/>
  <c r="AY131" i="3"/>
  <c r="AY72" i="3"/>
  <c r="AY76" i="3"/>
  <c r="AY80" i="3"/>
  <c r="AY117" i="3"/>
  <c r="AY124" i="3"/>
  <c r="AY90" i="3"/>
  <c r="AY100" i="3"/>
  <c r="AY139" i="3"/>
  <c r="AY158" i="3"/>
  <c r="AY169" i="3"/>
  <c r="AY91" i="3"/>
  <c r="AY108" i="3"/>
  <c r="AY113" i="3"/>
  <c r="AY123" i="3"/>
  <c r="AY127" i="3"/>
  <c r="AY147" i="3"/>
  <c r="AY103" i="3"/>
  <c r="AY122" i="3"/>
  <c r="AY153" i="3"/>
  <c r="AY132" i="3"/>
  <c r="AY137" i="3"/>
  <c r="AY151" i="3"/>
  <c r="AY130" i="3"/>
  <c r="AY134" i="3"/>
  <c r="AY138" i="3"/>
  <c r="AY142" i="3"/>
  <c r="AY146" i="3"/>
  <c r="AY165" i="3"/>
  <c r="AY152" i="3"/>
  <c r="AY155" i="3"/>
  <c r="AY159" i="3"/>
  <c r="AY163" i="3"/>
  <c r="AY167" i="3"/>
  <c r="AB41" i="3"/>
  <c r="AB96" i="3"/>
  <c r="AB111" i="3"/>
  <c r="AB74" i="3"/>
  <c r="AB58" i="3"/>
  <c r="AB57" i="3"/>
  <c r="AB64" i="3"/>
  <c r="AB146" i="3"/>
  <c r="AB28" i="3"/>
  <c r="AB12" i="3"/>
  <c r="AB89" i="3"/>
  <c r="AB153" i="3"/>
  <c r="AB33" i="3"/>
  <c r="AB158" i="3"/>
  <c r="AB14" i="3"/>
  <c r="AB159" i="3"/>
  <c r="AB75" i="3"/>
  <c r="AB38" i="3"/>
  <c r="AB77" i="3"/>
  <c r="AB70" i="3"/>
  <c r="AB17" i="3"/>
  <c r="AB154" i="3"/>
  <c r="AB49" i="3"/>
  <c r="AB99" i="3"/>
  <c r="AB68" i="3"/>
  <c r="AB140" i="3"/>
  <c r="AB133" i="3"/>
  <c r="AB4" i="3"/>
  <c r="AB62" i="3"/>
  <c r="AB128" i="3"/>
  <c r="AB35" i="3"/>
  <c r="AB165" i="3"/>
  <c r="AB26" i="3"/>
  <c r="AB39" i="3"/>
  <c r="AB139" i="3"/>
  <c r="AB67" i="3"/>
  <c r="AB9" i="3"/>
  <c r="AB43" i="3"/>
  <c r="AB78" i="3"/>
  <c r="AB27" i="3"/>
  <c r="AB92" i="3"/>
  <c r="AB157" i="3"/>
  <c r="AB54" i="3"/>
  <c r="AB97" i="3"/>
  <c r="AB117" i="3"/>
  <c r="AB44" i="3"/>
  <c r="AB98" i="3"/>
  <c r="AB50" i="3"/>
  <c r="AB36" i="3"/>
  <c r="AB18" i="3"/>
  <c r="AB48" i="3"/>
  <c r="AB138" i="3"/>
  <c r="AB161" i="3"/>
  <c r="AB69" i="3"/>
  <c r="AB93" i="3"/>
  <c r="AB144" i="3"/>
  <c r="AB107" i="3"/>
  <c r="AB7" i="3"/>
  <c r="AB25" i="3"/>
  <c r="AB87" i="3"/>
  <c r="AB94" i="3"/>
  <c r="AB169" i="3"/>
  <c r="AB20" i="3"/>
  <c r="AB34" i="3"/>
  <c r="AB61" i="3"/>
  <c r="AB63" i="3"/>
  <c r="AB100" i="3"/>
  <c r="AB102" i="3"/>
  <c r="AB5" i="3"/>
  <c r="AB29" i="3"/>
  <c r="AB76" i="3"/>
  <c r="AB134" i="3"/>
  <c r="AB145" i="3"/>
  <c r="AB11" i="3"/>
  <c r="AB23" i="3"/>
  <c r="AB71" i="3"/>
  <c r="AB109" i="3"/>
  <c r="AB52" i="3"/>
  <c r="AB95" i="3"/>
  <c r="AB30" i="3"/>
  <c r="AB31" i="3"/>
  <c r="AB53" i="3"/>
  <c r="AB66" i="3"/>
  <c r="AB86" i="3"/>
  <c r="AB90" i="3"/>
  <c r="AB116" i="3"/>
  <c r="AB163" i="3"/>
  <c r="AB121" i="3"/>
  <c r="AB13" i="3"/>
  <c r="AB10" i="3"/>
  <c r="AB80" i="3"/>
  <c r="AB120" i="3"/>
  <c r="AB40" i="3"/>
  <c r="AB65" i="3"/>
  <c r="AB105" i="3"/>
  <c r="AB131" i="3"/>
  <c r="AB6" i="3"/>
  <c r="AB16" i="3"/>
  <c r="AB32" i="3"/>
  <c r="AB37" i="3"/>
  <c r="AB42" i="3"/>
  <c r="AB83" i="3"/>
  <c r="AB130" i="3"/>
  <c r="AB135" i="3"/>
  <c r="AB143" i="3"/>
  <c r="AB19" i="3"/>
  <c r="AB22" i="3"/>
  <c r="AB46" i="3"/>
  <c r="AB56" i="3"/>
  <c r="AB88" i="3"/>
  <c r="AB115" i="3"/>
  <c r="AB21" i="3"/>
  <c r="AB72" i="3"/>
  <c r="AB84" i="3"/>
  <c r="AB136" i="3"/>
  <c r="AB149" i="3"/>
  <c r="AB8" i="3"/>
  <c r="AB73" i="3"/>
  <c r="AB124" i="3"/>
  <c r="AB15" i="3"/>
  <c r="AB47" i="3"/>
  <c r="AB51" i="3"/>
  <c r="AB55" i="3"/>
  <c r="AB79" i="3"/>
  <c r="AB125" i="3"/>
  <c r="AB85" i="3"/>
  <c r="AB152" i="3"/>
  <c r="AB91" i="3"/>
  <c r="AB101" i="3"/>
  <c r="AB112" i="3"/>
  <c r="AB119" i="3"/>
  <c r="AB141" i="3"/>
  <c r="AB81" i="3"/>
  <c r="AB103" i="3"/>
  <c r="AB129" i="3"/>
  <c r="AB108" i="3"/>
  <c r="AB113" i="3"/>
  <c r="AB123" i="3"/>
  <c r="AB127" i="3"/>
  <c r="AB147" i="3"/>
  <c r="AB166" i="3"/>
  <c r="AB150" i="3"/>
  <c r="AB132" i="3"/>
  <c r="AB137" i="3"/>
  <c r="AB142" i="3"/>
  <c r="AB106" i="3"/>
  <c r="AB110" i="3"/>
  <c r="AB114" i="3"/>
  <c r="AB118" i="3"/>
  <c r="AB122" i="3"/>
  <c r="AB151" i="3"/>
  <c r="AB162" i="3"/>
  <c r="AB167" i="3"/>
  <c r="AB155" i="3"/>
  <c r="AB156" i="3"/>
  <c r="AB160" i="3"/>
  <c r="AB164" i="3"/>
  <c r="AB168" i="3"/>
  <c r="BE38" i="3"/>
  <c r="BE91" i="3"/>
  <c r="BE50" i="3"/>
  <c r="BE68" i="3"/>
  <c r="BE154" i="3"/>
  <c r="BE9" i="3"/>
  <c r="BE29" i="3"/>
  <c r="BE135" i="3"/>
  <c r="BE93" i="3"/>
  <c r="BE46" i="3"/>
  <c r="BE86" i="3"/>
  <c r="BE30" i="3"/>
  <c r="BE77" i="3"/>
  <c r="BE156" i="3"/>
  <c r="BE61" i="3"/>
  <c r="BE67" i="3"/>
  <c r="BE123" i="3"/>
  <c r="BE39" i="3"/>
  <c r="BE121" i="3"/>
  <c r="BE90" i="3"/>
  <c r="BE101" i="3"/>
  <c r="BE87" i="3"/>
  <c r="BE116" i="3"/>
  <c r="BE117" i="3"/>
  <c r="BE164" i="3"/>
  <c r="BE58" i="3"/>
  <c r="BE150" i="3"/>
  <c r="BE8" i="3"/>
  <c r="BE34" i="3"/>
  <c r="BE37" i="3"/>
  <c r="BE20" i="3"/>
  <c r="BE36" i="3"/>
  <c r="BE56" i="3"/>
  <c r="BE51" i="3"/>
  <c r="BE7" i="3"/>
  <c r="BE25" i="3"/>
  <c r="BE52" i="3"/>
  <c r="BE64" i="3"/>
  <c r="BE22" i="3"/>
  <c r="BE32" i="3"/>
  <c r="BE15" i="3"/>
  <c r="BE23" i="3"/>
  <c r="BE95" i="3"/>
  <c r="BE110" i="3"/>
  <c r="BE16" i="3"/>
  <c r="BE108" i="3"/>
  <c r="BE113" i="3"/>
  <c r="BE100" i="3"/>
  <c r="BE118" i="3"/>
  <c r="BE149" i="3"/>
  <c r="BE21" i="3"/>
  <c r="BE71" i="3"/>
  <c r="BE81" i="3"/>
  <c r="BE105" i="3"/>
  <c r="BE114" i="3"/>
  <c r="BE161" i="3"/>
  <c r="BE33" i="3"/>
  <c r="BE26" i="3"/>
  <c r="BE75" i="3"/>
  <c r="BE85" i="3"/>
  <c r="BE96" i="3"/>
  <c r="BE115" i="3"/>
  <c r="BE111" i="3"/>
  <c r="BE27" i="3"/>
  <c r="BE99" i="3"/>
  <c r="BE103" i="3"/>
  <c r="BE132" i="3"/>
  <c r="BE11" i="3"/>
  <c r="BE19" i="3"/>
  <c r="BE74" i="3"/>
  <c r="BE14" i="3"/>
  <c r="BE152" i="3"/>
  <c r="BE40" i="3"/>
  <c r="BE55" i="3"/>
  <c r="BE65" i="3"/>
  <c r="BE146" i="3"/>
  <c r="BE31" i="3"/>
  <c r="BE41" i="3"/>
  <c r="BE54" i="3"/>
  <c r="BE131" i="3"/>
  <c r="BE139" i="3"/>
  <c r="BE142" i="3"/>
  <c r="BE153" i="3"/>
  <c r="BE89" i="3"/>
  <c r="BE112" i="3"/>
  <c r="BE122" i="3"/>
  <c r="BE159" i="3"/>
  <c r="BE42" i="3"/>
  <c r="BE44" i="3"/>
  <c r="BE84" i="3"/>
  <c r="BE160" i="3"/>
  <c r="BE4" i="3"/>
  <c r="BE6" i="3"/>
  <c r="BE35" i="3"/>
  <c r="BE73" i="3"/>
  <c r="BE83" i="3"/>
  <c r="BE128" i="3"/>
  <c r="BE130" i="3"/>
  <c r="BE17" i="3"/>
  <c r="BE48" i="3"/>
  <c r="BE76" i="3"/>
  <c r="BE94" i="3"/>
  <c r="BE134" i="3"/>
  <c r="BE13" i="3"/>
  <c r="BE43" i="3"/>
  <c r="BE47" i="3"/>
  <c r="BE69" i="3"/>
  <c r="BE72" i="3"/>
  <c r="BE78" i="3"/>
  <c r="BE88" i="3"/>
  <c r="BE109" i="3"/>
  <c r="BE10" i="3"/>
  <c r="BE28" i="3"/>
  <c r="BE63" i="3"/>
  <c r="BE102" i="3"/>
  <c r="BE120" i="3"/>
  <c r="BE125" i="3"/>
  <c r="BE140" i="3"/>
  <c r="BE18" i="3"/>
  <c r="BE92" i="3"/>
  <c r="BE127" i="3"/>
  <c r="BE5" i="3"/>
  <c r="BE49" i="3"/>
  <c r="BE53" i="3"/>
  <c r="BE57" i="3"/>
  <c r="BE80" i="3"/>
  <c r="BE106" i="3"/>
  <c r="BE147" i="3"/>
  <c r="BE12" i="3"/>
  <c r="BE62" i="3"/>
  <c r="BE66" i="3"/>
  <c r="BE70" i="3"/>
  <c r="BE79" i="3"/>
  <c r="BE97" i="3"/>
  <c r="BE165" i="3"/>
  <c r="BE98" i="3"/>
  <c r="BE107" i="3"/>
  <c r="BE136" i="3"/>
  <c r="BE144" i="3"/>
  <c r="BE138" i="3"/>
  <c r="BE119" i="3"/>
  <c r="BE124" i="3"/>
  <c r="BE143" i="3"/>
  <c r="BE167" i="3"/>
  <c r="BE129" i="3"/>
  <c r="BE133" i="3"/>
  <c r="BE137" i="3"/>
  <c r="BE141" i="3"/>
  <c r="BE145" i="3"/>
  <c r="BE155" i="3"/>
  <c r="BE157" i="3"/>
  <c r="BE169" i="3"/>
  <c r="BE151" i="3"/>
  <c r="BE163" i="3"/>
  <c r="BE168" i="3"/>
  <c r="BE158" i="3"/>
  <c r="BE162" i="3"/>
  <c r="BE166" i="3"/>
  <c r="BC53" i="3"/>
  <c r="BC11" i="3"/>
  <c r="BC101" i="3"/>
  <c r="BC20" i="3"/>
  <c r="BC30" i="3"/>
  <c r="BC36" i="3"/>
  <c r="BC56" i="3"/>
  <c r="BC76" i="3"/>
  <c r="BC17" i="3"/>
  <c r="BC78" i="3"/>
  <c r="BC54" i="3"/>
  <c r="BC9" i="3"/>
  <c r="BC79" i="3"/>
  <c r="BC46" i="3"/>
  <c r="BC86" i="3"/>
  <c r="BC69" i="3"/>
  <c r="BC72" i="3"/>
  <c r="BC13" i="3"/>
  <c r="BC74" i="3"/>
  <c r="BC96" i="3"/>
  <c r="BC32" i="3"/>
  <c r="BC15" i="3"/>
  <c r="BC65" i="3"/>
  <c r="BC61" i="3"/>
  <c r="BC67" i="3"/>
  <c r="BC123" i="3"/>
  <c r="BC5" i="3"/>
  <c r="BC40" i="3"/>
  <c r="BC115" i="3"/>
  <c r="BC7" i="3"/>
  <c r="BC106" i="3"/>
  <c r="BC149" i="3"/>
  <c r="BC34" i="3"/>
  <c r="BC38" i="3"/>
  <c r="BC48" i="3"/>
  <c r="BC127" i="3"/>
  <c r="BC100" i="3"/>
  <c r="BC21" i="3"/>
  <c r="BC81" i="3"/>
  <c r="BC31" i="3"/>
  <c r="BC55" i="3"/>
  <c r="BC64" i="3"/>
  <c r="BC71" i="3"/>
  <c r="BC92" i="3"/>
  <c r="BC111" i="3"/>
  <c r="BC16" i="3"/>
  <c r="BC26" i="3"/>
  <c r="BC43" i="3"/>
  <c r="BC49" i="3"/>
  <c r="BC51" i="3"/>
  <c r="BC144" i="3"/>
  <c r="BC156" i="3"/>
  <c r="BC27" i="3"/>
  <c r="BC75" i="3"/>
  <c r="BC14" i="3"/>
  <c r="BC152" i="3"/>
  <c r="BC166" i="3"/>
  <c r="BC132" i="3"/>
  <c r="BC18" i="3"/>
  <c r="BC58" i="3"/>
  <c r="BC87" i="3"/>
  <c r="BC22" i="3"/>
  <c r="BC39" i="3"/>
  <c r="BC44" i="3"/>
  <c r="BC77" i="3"/>
  <c r="BC116" i="3"/>
  <c r="BC154" i="3"/>
  <c r="BC89" i="3"/>
  <c r="BC122" i="3"/>
  <c r="BC159" i="3"/>
  <c r="BC131" i="3"/>
  <c r="BC85" i="3"/>
  <c r="BC93" i="3"/>
  <c r="BC97" i="3"/>
  <c r="BC105" i="3"/>
  <c r="BC161" i="3"/>
  <c r="BC80" i="3"/>
  <c r="BC4" i="3"/>
  <c r="BC35" i="3"/>
  <c r="BC47" i="3"/>
  <c r="BC73" i="3"/>
  <c r="BC169" i="3"/>
  <c r="BC8" i="3"/>
  <c r="BC135" i="3"/>
  <c r="BC138" i="3"/>
  <c r="BC142" i="3"/>
  <c r="BC50" i="3"/>
  <c r="BC10" i="3"/>
  <c r="BC28" i="3"/>
  <c r="BC63" i="3"/>
  <c r="BC120" i="3"/>
  <c r="BC140" i="3"/>
  <c r="BC42" i="3"/>
  <c r="BC68" i="3"/>
  <c r="BC83" i="3"/>
  <c r="BC23" i="3"/>
  <c r="BC52" i="3"/>
  <c r="BC57" i="3"/>
  <c r="BC108" i="3"/>
  <c r="BC147" i="3"/>
  <c r="BC153" i="3"/>
  <c r="BC12" i="3"/>
  <c r="BC62" i="3"/>
  <c r="BC66" i="3"/>
  <c r="BC70" i="3"/>
  <c r="BC19" i="3"/>
  <c r="BC25" i="3"/>
  <c r="BC29" i="3"/>
  <c r="BC33" i="3"/>
  <c r="BC37" i="3"/>
  <c r="BC41" i="3"/>
  <c r="BC95" i="3"/>
  <c r="BC103" i="3"/>
  <c r="BC165" i="3"/>
  <c r="BC6" i="3"/>
  <c r="BC91" i="3"/>
  <c r="BC114" i="3"/>
  <c r="BC130" i="3"/>
  <c r="BC139" i="3"/>
  <c r="BC107" i="3"/>
  <c r="BC136" i="3"/>
  <c r="BC88" i="3"/>
  <c r="BC146" i="3"/>
  <c r="BC84" i="3"/>
  <c r="BC99" i="3"/>
  <c r="BC110" i="3"/>
  <c r="BC112" i="3"/>
  <c r="BC134" i="3"/>
  <c r="BC158" i="3"/>
  <c r="BC164" i="3"/>
  <c r="BC90" i="3"/>
  <c r="BC94" i="3"/>
  <c r="BC98" i="3"/>
  <c r="BC102" i="3"/>
  <c r="BC119" i="3"/>
  <c r="BC124" i="3"/>
  <c r="BC143" i="3"/>
  <c r="BC118" i="3"/>
  <c r="BC128" i="3"/>
  <c r="BC150" i="3"/>
  <c r="BC167" i="3"/>
  <c r="BC129" i="3"/>
  <c r="BC133" i="3"/>
  <c r="BC137" i="3"/>
  <c r="BC141" i="3"/>
  <c r="BC145" i="3"/>
  <c r="BC155" i="3"/>
  <c r="BC157" i="3"/>
  <c r="BC160" i="3"/>
  <c r="BC162" i="3"/>
  <c r="BC109" i="3"/>
  <c r="BC113" i="3"/>
  <c r="BC117" i="3"/>
  <c r="BC121" i="3"/>
  <c r="BC125" i="3"/>
  <c r="BC151" i="3"/>
  <c r="BC163" i="3"/>
  <c r="BC168" i="3"/>
  <c r="N28" i="3"/>
  <c r="N149" i="3"/>
  <c r="N75" i="3"/>
  <c r="N42" i="3"/>
  <c r="N52" i="3"/>
  <c r="N116" i="3"/>
  <c r="N106" i="3"/>
  <c r="N32" i="3"/>
  <c r="N15" i="3"/>
  <c r="N17" i="3"/>
  <c r="N167" i="3"/>
  <c r="N67" i="3"/>
  <c r="N145" i="3"/>
  <c r="N69" i="3"/>
  <c r="N127" i="3"/>
  <c r="N5" i="3"/>
  <c r="N56" i="3"/>
  <c r="N27" i="3"/>
  <c r="N31" i="3"/>
  <c r="N51" i="3"/>
  <c r="N95" i="3"/>
  <c r="N55" i="3"/>
  <c r="N26" i="3"/>
  <c r="N63" i="3"/>
  <c r="N144" i="3"/>
  <c r="N100" i="3"/>
  <c r="N143" i="3"/>
  <c r="N50" i="3"/>
  <c r="N21" i="3"/>
  <c r="N111" i="3"/>
  <c r="N153" i="3"/>
  <c r="N76" i="3"/>
  <c r="N30" i="3"/>
  <c r="N78" i="3"/>
  <c r="N154" i="3"/>
  <c r="N89" i="3"/>
  <c r="N92" i="3"/>
  <c r="N112" i="3"/>
  <c r="N162" i="3"/>
  <c r="N16" i="3"/>
  <c r="N4" i="3"/>
  <c r="N23" i="3"/>
  <c r="N68" i="3"/>
  <c r="N102" i="3"/>
  <c r="N11" i="3"/>
  <c r="N40" i="3"/>
  <c r="N91" i="3"/>
  <c r="N132" i="3"/>
  <c r="N35" i="3"/>
  <c r="N12" i="3"/>
  <c r="N62" i="3"/>
  <c r="N168" i="3"/>
  <c r="N22" i="3"/>
  <c r="N146" i="3"/>
  <c r="N10" i="3"/>
  <c r="N14" i="3"/>
  <c r="N49" i="3"/>
  <c r="N54" i="3"/>
  <c r="N80" i="3"/>
  <c r="N94" i="3"/>
  <c r="N47" i="3"/>
  <c r="N48" i="3"/>
  <c r="N83" i="3"/>
  <c r="N123" i="3"/>
  <c r="N130" i="3"/>
  <c r="N136" i="3"/>
  <c r="N147" i="3"/>
  <c r="N43" i="3"/>
  <c r="N57" i="3"/>
  <c r="N141" i="3"/>
  <c r="N155" i="3"/>
  <c r="N8" i="3"/>
  <c r="N72" i="3"/>
  <c r="N71" i="3"/>
  <c r="N110" i="3"/>
  <c r="N128" i="3"/>
  <c r="N156" i="3"/>
  <c r="N166" i="3"/>
  <c r="N53" i="3"/>
  <c r="N61" i="3"/>
  <c r="N77" i="3"/>
  <c r="N101" i="3"/>
  <c r="N122" i="3"/>
  <c r="N18" i="3"/>
  <c r="N46" i="3"/>
  <c r="N66" i="3"/>
  <c r="N74" i="3"/>
  <c r="N87" i="3"/>
  <c r="N90" i="3"/>
  <c r="N99" i="3"/>
  <c r="N138" i="3"/>
  <c r="N150" i="3"/>
  <c r="N9" i="3"/>
  <c r="N34" i="3"/>
  <c r="N36" i="3"/>
  <c r="N107" i="3"/>
  <c r="N124" i="3"/>
  <c r="N7" i="3"/>
  <c r="N39" i="3"/>
  <c r="N58" i="3"/>
  <c r="N65" i="3"/>
  <c r="N70" i="3"/>
  <c r="N73" i="3"/>
  <c r="N79" i="3"/>
  <c r="N119" i="3"/>
  <c r="N129" i="3"/>
  <c r="N140" i="3"/>
  <c r="N44" i="3"/>
  <c r="N103" i="3"/>
  <c r="N20" i="3"/>
  <c r="N38" i="3"/>
  <c r="N64" i="3"/>
  <c r="N108" i="3"/>
  <c r="N133" i="3"/>
  <c r="N19" i="3"/>
  <c r="N25" i="3"/>
  <c r="N29" i="3"/>
  <c r="N33" i="3"/>
  <c r="N37" i="3"/>
  <c r="N41" i="3"/>
  <c r="N81" i="3"/>
  <c r="N131" i="3"/>
  <c r="N6" i="3"/>
  <c r="N86" i="3"/>
  <c r="N93" i="3"/>
  <c r="N13" i="3"/>
  <c r="N85" i="3"/>
  <c r="N96" i="3"/>
  <c r="N97" i="3"/>
  <c r="N118" i="3"/>
  <c r="N142" i="3"/>
  <c r="N84" i="3"/>
  <c r="N88" i="3"/>
  <c r="N135" i="3"/>
  <c r="N137" i="3"/>
  <c r="N98" i="3"/>
  <c r="N105" i="3"/>
  <c r="N163" i="3"/>
  <c r="N134" i="3"/>
  <c r="N169" i="3"/>
  <c r="N115" i="3"/>
  <c r="N120" i="3"/>
  <c r="N139" i="3"/>
  <c r="N151" i="3"/>
  <c r="N157" i="3"/>
  <c r="N114" i="3"/>
  <c r="N158" i="3"/>
  <c r="N160" i="3"/>
  <c r="N109" i="3"/>
  <c r="N113" i="3"/>
  <c r="N117" i="3"/>
  <c r="N121" i="3"/>
  <c r="N125" i="3"/>
  <c r="N152" i="3"/>
  <c r="N161" i="3"/>
  <c r="N165" i="3"/>
  <c r="N159" i="3"/>
  <c r="N164" i="3"/>
  <c r="AS20" i="3"/>
  <c r="AS44" i="3"/>
  <c r="AS62" i="3"/>
  <c r="AS122" i="3"/>
  <c r="AS151" i="3"/>
  <c r="AS81" i="3"/>
  <c r="AS7" i="3"/>
  <c r="AS80" i="3"/>
  <c r="AS83" i="3"/>
  <c r="AS11" i="3"/>
  <c r="AS94" i="3"/>
  <c r="AS49" i="3"/>
  <c r="AS142" i="3"/>
  <c r="AS102" i="3"/>
  <c r="AS134" i="3"/>
  <c r="AS56" i="3"/>
  <c r="AS63" i="3"/>
  <c r="AS159" i="3"/>
  <c r="AS58" i="3"/>
  <c r="AS54" i="3"/>
  <c r="AS12" i="3"/>
  <c r="AS128" i="3"/>
  <c r="AS41" i="3"/>
  <c r="AS33" i="3"/>
  <c r="AS42" i="3"/>
  <c r="AS67" i="3"/>
  <c r="AS109" i="3"/>
  <c r="AS14" i="3"/>
  <c r="AS110" i="3"/>
  <c r="AS57" i="3"/>
  <c r="AS129" i="3"/>
  <c r="AS23" i="3"/>
  <c r="AS52" i="3"/>
  <c r="AS4" i="3"/>
  <c r="AS51" i="3"/>
  <c r="AS28" i="3"/>
  <c r="AS34" i="3"/>
  <c r="AS19" i="3"/>
  <c r="AS10" i="3"/>
  <c r="AS90" i="3"/>
  <c r="AS6" i="3"/>
  <c r="AS37" i="3"/>
  <c r="AS76" i="3"/>
  <c r="AS85" i="3"/>
  <c r="AS112" i="3"/>
  <c r="AS38" i="3"/>
  <c r="AS89" i="3"/>
  <c r="AS103" i="3"/>
  <c r="AS138" i="3"/>
  <c r="AS140" i="3"/>
  <c r="AS65" i="3"/>
  <c r="AS91" i="3"/>
  <c r="AS120" i="3"/>
  <c r="AS17" i="3"/>
  <c r="AS32" i="3"/>
  <c r="AS36" i="3"/>
  <c r="AS47" i="3"/>
  <c r="AS95" i="3"/>
  <c r="AS144" i="3"/>
  <c r="AS164" i="3"/>
  <c r="AS167" i="3"/>
  <c r="AS169" i="3"/>
  <c r="AS13" i="3"/>
  <c r="AS69" i="3"/>
  <c r="AS97" i="3"/>
  <c r="AS133" i="3"/>
  <c r="AS165" i="3"/>
  <c r="AS70" i="3"/>
  <c r="AS150" i="3"/>
  <c r="AS73" i="3"/>
  <c r="AS99" i="3"/>
  <c r="AS46" i="3"/>
  <c r="AS72" i="3"/>
  <c r="AS26" i="3"/>
  <c r="AS48" i="3"/>
  <c r="AS101" i="3"/>
  <c r="AS21" i="3"/>
  <c r="AS98" i="3"/>
  <c r="AS29" i="3"/>
  <c r="AS53" i="3"/>
  <c r="AS114" i="3"/>
  <c r="AS137" i="3"/>
  <c r="AS5" i="3"/>
  <c r="AS15" i="3"/>
  <c r="AS50" i="3"/>
  <c r="AS55" i="3"/>
  <c r="AS71" i="3"/>
  <c r="AS77" i="3"/>
  <c r="AS113" i="3"/>
  <c r="AS145" i="3"/>
  <c r="AS61" i="3"/>
  <c r="AS66" i="3"/>
  <c r="AS124" i="3"/>
  <c r="AS155" i="3"/>
  <c r="AS8" i="3"/>
  <c r="AS18" i="3"/>
  <c r="AS25" i="3"/>
  <c r="AS30" i="3"/>
  <c r="AS40" i="3"/>
  <c r="AS79" i="3"/>
  <c r="AS84" i="3"/>
  <c r="AS152" i="3"/>
  <c r="AS22" i="3"/>
  <c r="AS64" i="3"/>
  <c r="AS68" i="3"/>
  <c r="AS74" i="3"/>
  <c r="AS78" i="3"/>
  <c r="AS9" i="3"/>
  <c r="AS27" i="3"/>
  <c r="AS31" i="3"/>
  <c r="AS35" i="3"/>
  <c r="AS39" i="3"/>
  <c r="AS43" i="3"/>
  <c r="AS118" i="3"/>
  <c r="AS162" i="3"/>
  <c r="AS16" i="3"/>
  <c r="AS75" i="3"/>
  <c r="AS87" i="3"/>
  <c r="AS117" i="3"/>
  <c r="AS130" i="3"/>
  <c r="AS93" i="3"/>
  <c r="AS108" i="3"/>
  <c r="AS125" i="3"/>
  <c r="AS132" i="3"/>
  <c r="AS86" i="3"/>
  <c r="AS88" i="3"/>
  <c r="AS92" i="3"/>
  <c r="AS96" i="3"/>
  <c r="AS100" i="3"/>
  <c r="AS136" i="3"/>
  <c r="AS141" i="3"/>
  <c r="AS146" i="3"/>
  <c r="AS157" i="3"/>
  <c r="AS105" i="3"/>
  <c r="AS106" i="3"/>
  <c r="AS160" i="3"/>
  <c r="AS116" i="3"/>
  <c r="AS121" i="3"/>
  <c r="AS127" i="3"/>
  <c r="AS131" i="3"/>
  <c r="AS135" i="3"/>
  <c r="AS139" i="3"/>
  <c r="AS143" i="3"/>
  <c r="AS147" i="3"/>
  <c r="AS158" i="3"/>
  <c r="AS163" i="3"/>
  <c r="AS107" i="3"/>
  <c r="AS111" i="3"/>
  <c r="AS115" i="3"/>
  <c r="AS119" i="3"/>
  <c r="AS123" i="3"/>
  <c r="AS154" i="3"/>
  <c r="AS168" i="3"/>
  <c r="AS149" i="3"/>
  <c r="AS153" i="3"/>
  <c r="AS156" i="3"/>
  <c r="AS161" i="3"/>
  <c r="AS166" i="3"/>
  <c r="AA41" i="3"/>
  <c r="AA93" i="3"/>
  <c r="AA58" i="3"/>
  <c r="AA13" i="3"/>
  <c r="AA96" i="3"/>
  <c r="AA111" i="3"/>
  <c r="AA57" i="3"/>
  <c r="AA110" i="3"/>
  <c r="AA21" i="3"/>
  <c r="AA52" i="3"/>
  <c r="AA158" i="3"/>
  <c r="AA85" i="3"/>
  <c r="AA159" i="3"/>
  <c r="AA84" i="3"/>
  <c r="AA89" i="3"/>
  <c r="AA95" i="3"/>
  <c r="AA33" i="3"/>
  <c r="AA14" i="3"/>
  <c r="AA114" i="3"/>
  <c r="AA136" i="3"/>
  <c r="AA17" i="3"/>
  <c r="AA26" i="3"/>
  <c r="AA78" i="3"/>
  <c r="AA39" i="3"/>
  <c r="AA69" i="3"/>
  <c r="AA140" i="3"/>
  <c r="AA133" i="3"/>
  <c r="AA35" i="3"/>
  <c r="AA154" i="3"/>
  <c r="AA38" i="3"/>
  <c r="AA43" i="3"/>
  <c r="AA49" i="3"/>
  <c r="AA99" i="3"/>
  <c r="AA12" i="3"/>
  <c r="AA54" i="3"/>
  <c r="AA97" i="3"/>
  <c r="AA32" i="3"/>
  <c r="AA18" i="3"/>
  <c r="AA48" i="3"/>
  <c r="AA138" i="3"/>
  <c r="AA161" i="3"/>
  <c r="AA36" i="3"/>
  <c r="AA107" i="3"/>
  <c r="AA118" i="3"/>
  <c r="AA7" i="3"/>
  <c r="AA25" i="3"/>
  <c r="AA87" i="3"/>
  <c r="AA94" i="3"/>
  <c r="AA169" i="3"/>
  <c r="AA44" i="3"/>
  <c r="AA27" i="3"/>
  <c r="AA83" i="3"/>
  <c r="AA61" i="3"/>
  <c r="AA5" i="3"/>
  <c r="AA29" i="3"/>
  <c r="AA72" i="3"/>
  <c r="AA76" i="3"/>
  <c r="AA108" i="3"/>
  <c r="AA134" i="3"/>
  <c r="AA145" i="3"/>
  <c r="AA20" i="3"/>
  <c r="AA34" i="3"/>
  <c r="AA100" i="3"/>
  <c r="AA11" i="3"/>
  <c r="AA16" i="3"/>
  <c r="AA23" i="3"/>
  <c r="AA71" i="3"/>
  <c r="AA109" i="3"/>
  <c r="AA63" i="3"/>
  <c r="AA4" i="3"/>
  <c r="AA28" i="3"/>
  <c r="AA50" i="3"/>
  <c r="AA74" i="3"/>
  <c r="AA128" i="3"/>
  <c r="AA30" i="3"/>
  <c r="AA53" i="3"/>
  <c r="AA66" i="3"/>
  <c r="AA86" i="3"/>
  <c r="AA90" i="3"/>
  <c r="AA116" i="3"/>
  <c r="AA163" i="3"/>
  <c r="AA130" i="3"/>
  <c r="AA165" i="3"/>
  <c r="AA6" i="3"/>
  <c r="AA10" i="3"/>
  <c r="AA37" i="3"/>
  <c r="AA80" i="3"/>
  <c r="AA120" i="3"/>
  <c r="AA166" i="3"/>
  <c r="AA40" i="3"/>
  <c r="AA65" i="3"/>
  <c r="AA105" i="3"/>
  <c r="AA42" i="3"/>
  <c r="AA70" i="3"/>
  <c r="AA144" i="3"/>
  <c r="AA9" i="3"/>
  <c r="AA122" i="3"/>
  <c r="AA19" i="3"/>
  <c r="AA46" i="3"/>
  <c r="AA56" i="3"/>
  <c r="AA88" i="3"/>
  <c r="AA115" i="3"/>
  <c r="AA31" i="3"/>
  <c r="AA62" i="3"/>
  <c r="AA67" i="3"/>
  <c r="AA75" i="3"/>
  <c r="AA98" i="3"/>
  <c r="AA121" i="3"/>
  <c r="AA8" i="3"/>
  <c r="AA73" i="3"/>
  <c r="AA15" i="3"/>
  <c r="AA47" i="3"/>
  <c r="AA51" i="3"/>
  <c r="AA55" i="3"/>
  <c r="AA79" i="3"/>
  <c r="AA106" i="3"/>
  <c r="AA123" i="3"/>
  <c r="AA125" i="3"/>
  <c r="AA151" i="3"/>
  <c r="AA22" i="3"/>
  <c r="AA64" i="3"/>
  <c r="AA68" i="3"/>
  <c r="AA113" i="3"/>
  <c r="AA152" i="3"/>
  <c r="AA91" i="3"/>
  <c r="AA101" i="3"/>
  <c r="AA112" i="3"/>
  <c r="AA119" i="3"/>
  <c r="AA141" i="3"/>
  <c r="AA77" i="3"/>
  <c r="AA81" i="3"/>
  <c r="AA103" i="3"/>
  <c r="AA129" i="3"/>
  <c r="AA92" i="3"/>
  <c r="AA102" i="3"/>
  <c r="AA117" i="3"/>
  <c r="AA124" i="3"/>
  <c r="AA146" i="3"/>
  <c r="AA150" i="3"/>
  <c r="AA132" i="3"/>
  <c r="AA137" i="3"/>
  <c r="AA142" i="3"/>
  <c r="AA155" i="3"/>
  <c r="AA127" i="3"/>
  <c r="AA131" i="3"/>
  <c r="AA135" i="3"/>
  <c r="AA139" i="3"/>
  <c r="AA143" i="3"/>
  <c r="AA147" i="3"/>
  <c r="AA149" i="3"/>
  <c r="AA153" i="3"/>
  <c r="AA157" i="3"/>
  <c r="AA162" i="3"/>
  <c r="AA167" i="3"/>
  <c r="AA156" i="3"/>
  <c r="AA160" i="3"/>
  <c r="AA164" i="3"/>
  <c r="AA168" i="3"/>
  <c r="M140" i="3"/>
  <c r="M65" i="3"/>
  <c r="M15" i="3"/>
  <c r="M22" i="3"/>
  <c r="M28" i="3"/>
  <c r="M37" i="3"/>
  <c r="M43" i="3"/>
  <c r="M106" i="3"/>
  <c r="M119" i="3"/>
  <c r="M32" i="3"/>
  <c r="M116" i="3"/>
  <c r="M61" i="3"/>
  <c r="M75" i="3"/>
  <c r="M76" i="3"/>
  <c r="M52" i="3"/>
  <c r="M67" i="3"/>
  <c r="M42" i="3"/>
  <c r="M149" i="3"/>
  <c r="M69" i="3"/>
  <c r="M5" i="3"/>
  <c r="M143" i="3"/>
  <c r="M154" i="3"/>
  <c r="M56" i="3"/>
  <c r="M131" i="3"/>
  <c r="M27" i="3"/>
  <c r="M81" i="3"/>
  <c r="M21" i="3"/>
  <c r="M57" i="3"/>
  <c r="M153" i="3"/>
  <c r="M145" i="3"/>
  <c r="M26" i="3"/>
  <c r="M63" i="3"/>
  <c r="M92" i="3"/>
  <c r="M97" i="3"/>
  <c r="M142" i="3"/>
  <c r="M41" i="3"/>
  <c r="M112" i="3"/>
  <c r="M30" i="3"/>
  <c r="M19" i="3"/>
  <c r="M39" i="3"/>
  <c r="M101" i="3"/>
  <c r="M11" i="3"/>
  <c r="M95" i="3"/>
  <c r="M7" i="3"/>
  <c r="M40" i="3"/>
  <c r="M16" i="3"/>
  <c r="M91" i="3"/>
  <c r="M23" i="3"/>
  <c r="M132" i="3"/>
  <c r="M68" i="3"/>
  <c r="M77" i="3"/>
  <c r="M134" i="3"/>
  <c r="M12" i="3"/>
  <c r="M62" i="3"/>
  <c r="M122" i="3"/>
  <c r="M168" i="3"/>
  <c r="M31" i="3"/>
  <c r="M55" i="3"/>
  <c r="M127" i="3"/>
  <c r="M94" i="3"/>
  <c r="M14" i="3"/>
  <c r="M33" i="3"/>
  <c r="M25" i="3"/>
  <c r="M70" i="3"/>
  <c r="M83" i="3"/>
  <c r="M123" i="3"/>
  <c r="M130" i="3"/>
  <c r="M136" i="3"/>
  <c r="M10" i="3"/>
  <c r="M49" i="3"/>
  <c r="M162" i="3"/>
  <c r="M141" i="3"/>
  <c r="M8" i="3"/>
  <c r="M72" i="3"/>
  <c r="M165" i="3"/>
  <c r="M71" i="3"/>
  <c r="M110" i="3"/>
  <c r="M156" i="3"/>
  <c r="M35" i="3"/>
  <c r="M47" i="3"/>
  <c r="M73" i="3"/>
  <c r="M78" i="3"/>
  <c r="M79" i="3"/>
  <c r="M18" i="3"/>
  <c r="M66" i="3"/>
  <c r="M74" i="3"/>
  <c r="M87" i="3"/>
  <c r="M138" i="3"/>
  <c r="M150" i="3"/>
  <c r="M9" i="3"/>
  <c r="M34" i="3"/>
  <c r="M36" i="3"/>
  <c r="M124" i="3"/>
  <c r="M51" i="3"/>
  <c r="M89" i="3"/>
  <c r="M102" i="3"/>
  <c r="M4" i="3"/>
  <c r="M29" i="3"/>
  <c r="M44" i="3"/>
  <c r="M103" i="3"/>
  <c r="M38" i="3"/>
  <c r="M64" i="3"/>
  <c r="M108" i="3"/>
  <c r="M133" i="3"/>
  <c r="M17" i="3"/>
  <c r="M48" i="3"/>
  <c r="M53" i="3"/>
  <c r="M90" i="3"/>
  <c r="M100" i="3"/>
  <c r="M128" i="3"/>
  <c r="M146" i="3"/>
  <c r="M6" i="3"/>
  <c r="M86" i="3"/>
  <c r="M93" i="3"/>
  <c r="M13" i="3"/>
  <c r="M85" i="3"/>
  <c r="M96" i="3"/>
  <c r="M118" i="3"/>
  <c r="M20" i="3"/>
  <c r="M46" i="3"/>
  <c r="M50" i="3"/>
  <c r="M54" i="3"/>
  <c r="M58" i="3"/>
  <c r="M107" i="3"/>
  <c r="M84" i="3"/>
  <c r="M88" i="3"/>
  <c r="M135" i="3"/>
  <c r="M137" i="3"/>
  <c r="M98" i="3"/>
  <c r="M169" i="3"/>
  <c r="M80" i="3"/>
  <c r="M99" i="3"/>
  <c r="M111" i="3"/>
  <c r="M147" i="3"/>
  <c r="M115" i="3"/>
  <c r="M120" i="3"/>
  <c r="M139" i="3"/>
  <c r="M151" i="3"/>
  <c r="M157" i="3"/>
  <c r="M114" i="3"/>
  <c r="M158" i="3"/>
  <c r="M160" i="3"/>
  <c r="M129" i="3"/>
  <c r="M144" i="3"/>
  <c r="M105" i="3"/>
  <c r="M109" i="3"/>
  <c r="M113" i="3"/>
  <c r="M117" i="3"/>
  <c r="M121" i="3"/>
  <c r="M125" i="3"/>
  <c r="M152" i="3"/>
  <c r="M161" i="3"/>
  <c r="M166" i="3"/>
  <c r="M164" i="3"/>
  <c r="M155" i="3"/>
  <c r="M159" i="3"/>
  <c r="M163" i="3"/>
  <c r="M167" i="3"/>
  <c r="BK79" i="3"/>
  <c r="BK18" i="3"/>
  <c r="BK42" i="3"/>
  <c r="BK38" i="3"/>
  <c r="BK54" i="3"/>
  <c r="BK43" i="3"/>
  <c r="BK89" i="3"/>
  <c r="BK69" i="3"/>
  <c r="BK98" i="3"/>
  <c r="BK127" i="3"/>
  <c r="BK108" i="3"/>
  <c r="BK37" i="3"/>
  <c r="BK100" i="3"/>
  <c r="BK132" i="3"/>
  <c r="BK26" i="3"/>
  <c r="BK35" i="3"/>
  <c r="BK8" i="3"/>
  <c r="BK17" i="3"/>
  <c r="BK102" i="3"/>
  <c r="BK134" i="3"/>
  <c r="BK20" i="3"/>
  <c r="BK13" i="3"/>
  <c r="BK21" i="3"/>
  <c r="BK22" i="3"/>
  <c r="BK47" i="3"/>
  <c r="BK74" i="3"/>
  <c r="BK87" i="3"/>
  <c r="BK90" i="3"/>
  <c r="BK116" i="3"/>
  <c r="BK36" i="3"/>
  <c r="BK58" i="3"/>
  <c r="BK118" i="3"/>
  <c r="BK144" i="3"/>
  <c r="BK50" i="3"/>
  <c r="BK12" i="3"/>
  <c r="BK63" i="3"/>
  <c r="BK31" i="3"/>
  <c r="BK46" i="3"/>
  <c r="BK41" i="3"/>
  <c r="BK113" i="3"/>
  <c r="BK139" i="3"/>
  <c r="BK77" i="3"/>
  <c r="BK84" i="3"/>
  <c r="BK103" i="3"/>
  <c r="BK140" i="3"/>
  <c r="BK91" i="3"/>
  <c r="BK68" i="3"/>
  <c r="BK75" i="3"/>
  <c r="BK7" i="3"/>
  <c r="BK66" i="3"/>
  <c r="BK99" i="3"/>
  <c r="BK57" i="3"/>
  <c r="BK142" i="3"/>
  <c r="BK162" i="3"/>
  <c r="BK6" i="3"/>
  <c r="BK131" i="3"/>
  <c r="BK28" i="3"/>
  <c r="BK40" i="3"/>
  <c r="BK61" i="3"/>
  <c r="BK62" i="3"/>
  <c r="BK71" i="3"/>
  <c r="BK143" i="3"/>
  <c r="BK88" i="3"/>
  <c r="BK4" i="3"/>
  <c r="BK15" i="3"/>
  <c r="BK55" i="3"/>
  <c r="BK67" i="3"/>
  <c r="BK83" i="3"/>
  <c r="BK137" i="3"/>
  <c r="BK156" i="3"/>
  <c r="BK92" i="3"/>
  <c r="BK151" i="3"/>
  <c r="BK11" i="3"/>
  <c r="BK19" i="3"/>
  <c r="BK33" i="3"/>
  <c r="BK106" i="3"/>
  <c r="BK166" i="3"/>
  <c r="BK30" i="3"/>
  <c r="BK53" i="3"/>
  <c r="BK64" i="3"/>
  <c r="BK81" i="3"/>
  <c r="BK128" i="3"/>
  <c r="BK149" i="3"/>
  <c r="BK5" i="3"/>
  <c r="BK117" i="3"/>
  <c r="BK39" i="3"/>
  <c r="BK51" i="3"/>
  <c r="BK72" i="3"/>
  <c r="BK9" i="3"/>
  <c r="BK25" i="3"/>
  <c r="BK27" i="3"/>
  <c r="BK32" i="3"/>
  <c r="BK49" i="3"/>
  <c r="BK65" i="3"/>
  <c r="BK70" i="3"/>
  <c r="BK97" i="3"/>
  <c r="BK130" i="3"/>
  <c r="BK14" i="3"/>
  <c r="BK29" i="3"/>
  <c r="BK34" i="3"/>
  <c r="BK44" i="3"/>
  <c r="BK73" i="3"/>
  <c r="BK80" i="3"/>
  <c r="BK85" i="3"/>
  <c r="BK101" i="3"/>
  <c r="BK141" i="3"/>
  <c r="BK129" i="3"/>
  <c r="BK167" i="3"/>
  <c r="BK16" i="3"/>
  <c r="BK76" i="3"/>
  <c r="BK96" i="3"/>
  <c r="BK122" i="3"/>
  <c r="BK136" i="3"/>
  <c r="BK23" i="3"/>
  <c r="BK93" i="3"/>
  <c r="BK105" i="3"/>
  <c r="BK112" i="3"/>
  <c r="BK124" i="3"/>
  <c r="BK150" i="3"/>
  <c r="BK158" i="3"/>
  <c r="BK163" i="3"/>
  <c r="BK168" i="3"/>
  <c r="BK10" i="3"/>
  <c r="BK48" i="3"/>
  <c r="BK52" i="3"/>
  <c r="BK56" i="3"/>
  <c r="BK146" i="3"/>
  <c r="BK86" i="3"/>
  <c r="BK94" i="3"/>
  <c r="BK109" i="3"/>
  <c r="BK133" i="3"/>
  <c r="BK147" i="3"/>
  <c r="BK121" i="3"/>
  <c r="BK145" i="3"/>
  <c r="BK78" i="3"/>
  <c r="BK95" i="3"/>
  <c r="BK114" i="3"/>
  <c r="BK138" i="3"/>
  <c r="BK154" i="3"/>
  <c r="BK159" i="3"/>
  <c r="BK135" i="3"/>
  <c r="BK110" i="3"/>
  <c r="BK120" i="3"/>
  <c r="BK125" i="3"/>
  <c r="BK152" i="3"/>
  <c r="BK107" i="3"/>
  <c r="BK111" i="3"/>
  <c r="BK115" i="3"/>
  <c r="BK119" i="3"/>
  <c r="BK123" i="3"/>
  <c r="BK164" i="3"/>
  <c r="BK153" i="3"/>
  <c r="BK155" i="3"/>
  <c r="BK160" i="3"/>
  <c r="BK157" i="3"/>
  <c r="BK161" i="3"/>
  <c r="BK165" i="3"/>
  <c r="BK169" i="3"/>
  <c r="S107" i="3"/>
  <c r="S138" i="3"/>
  <c r="S13" i="3"/>
  <c r="S25" i="3"/>
  <c r="S34" i="3"/>
  <c r="S37" i="3"/>
  <c r="S15" i="3"/>
  <c r="S7" i="3"/>
  <c r="S153" i="3"/>
  <c r="S72" i="3"/>
  <c r="S48" i="3"/>
  <c r="S16" i="3"/>
  <c r="S47" i="3"/>
  <c r="S166" i="3"/>
  <c r="S151" i="3"/>
  <c r="S8" i="3"/>
  <c r="S65" i="3"/>
  <c r="S73" i="3"/>
  <c r="S22" i="3"/>
  <c r="S51" i="3"/>
  <c r="S121" i="3"/>
  <c r="S156" i="3"/>
  <c r="S41" i="3"/>
  <c r="S62" i="3"/>
  <c r="S132" i="3"/>
  <c r="S12" i="3"/>
  <c r="S157" i="3"/>
  <c r="S46" i="3"/>
  <c r="S91" i="3"/>
  <c r="S6" i="3"/>
  <c r="S30" i="3"/>
  <c r="S63" i="3"/>
  <c r="S71" i="3"/>
  <c r="S117" i="3"/>
  <c r="S118" i="3"/>
  <c r="S69" i="3"/>
  <c r="S10" i="3"/>
  <c r="S113" i="3"/>
  <c r="S20" i="3"/>
  <c r="S56" i="3"/>
  <c r="S64" i="3"/>
  <c r="S17" i="3"/>
  <c r="S147" i="3"/>
  <c r="S101" i="3"/>
  <c r="S143" i="3"/>
  <c r="S31" i="3"/>
  <c r="S81" i="3"/>
  <c r="S86" i="3"/>
  <c r="S9" i="3"/>
  <c r="S131" i="3"/>
  <c r="S38" i="3"/>
  <c r="S52" i="3"/>
  <c r="S102" i="3"/>
  <c r="S98" i="3"/>
  <c r="S137" i="3"/>
  <c r="S169" i="3"/>
  <c r="S123" i="3"/>
  <c r="S19" i="3"/>
  <c r="S23" i="3"/>
  <c r="S110" i="3"/>
  <c r="S50" i="3"/>
  <c r="S66" i="3"/>
  <c r="S88" i="3"/>
  <c r="S142" i="3"/>
  <c r="S96" i="3"/>
  <c r="S27" i="3"/>
  <c r="S39" i="3"/>
  <c r="S122" i="3"/>
  <c r="S146" i="3"/>
  <c r="S105" i="3"/>
  <c r="S109" i="3"/>
  <c r="S14" i="3"/>
  <c r="S75" i="3"/>
  <c r="S58" i="3"/>
  <c r="S100" i="3"/>
  <c r="S33" i="3"/>
  <c r="S80" i="3"/>
  <c r="S42" i="3"/>
  <c r="S43" i="3"/>
  <c r="S57" i="3"/>
  <c r="S67" i="3"/>
  <c r="S93" i="3"/>
  <c r="S97" i="3"/>
  <c r="S103" i="3"/>
  <c r="S114" i="3"/>
  <c r="S119" i="3"/>
  <c r="S141" i="3"/>
  <c r="S5" i="3"/>
  <c r="S26" i="3"/>
  <c r="S55" i="3"/>
  <c r="S76" i="3"/>
  <c r="S162" i="3"/>
  <c r="S68" i="3"/>
  <c r="S85" i="3"/>
  <c r="S133" i="3"/>
  <c r="S29" i="3"/>
  <c r="S53" i="3"/>
  <c r="S152" i="3"/>
  <c r="S134" i="3"/>
  <c r="S21" i="3"/>
  <c r="S35" i="3"/>
  <c r="S49" i="3"/>
  <c r="S54" i="3"/>
  <c r="S61" i="3"/>
  <c r="S89" i="3"/>
  <c r="S92" i="3"/>
  <c r="S70" i="3"/>
  <c r="S74" i="3"/>
  <c r="S77" i="3"/>
  <c r="S79" i="3"/>
  <c r="S84" i="3"/>
  <c r="S4" i="3"/>
  <c r="S28" i="3"/>
  <c r="S32" i="3"/>
  <c r="S36" i="3"/>
  <c r="S40" i="3"/>
  <c r="S44" i="3"/>
  <c r="S78" i="3"/>
  <c r="S94" i="3"/>
  <c r="S128" i="3"/>
  <c r="S129" i="3"/>
  <c r="S11" i="3"/>
  <c r="S90" i="3"/>
  <c r="S139" i="3"/>
  <c r="S140" i="3"/>
  <c r="S150" i="3"/>
  <c r="S18" i="3"/>
  <c r="S99" i="3"/>
  <c r="S95" i="3"/>
  <c r="S115" i="3"/>
  <c r="S127" i="3"/>
  <c r="S149" i="3"/>
  <c r="S83" i="3"/>
  <c r="S87" i="3"/>
  <c r="S106" i="3"/>
  <c r="S125" i="3"/>
  <c r="S164" i="3"/>
  <c r="S165" i="3"/>
  <c r="S144" i="3"/>
  <c r="S136" i="3"/>
  <c r="S130" i="3"/>
  <c r="S145" i="3"/>
  <c r="S167" i="3"/>
  <c r="S111" i="3"/>
  <c r="S135" i="3"/>
  <c r="S159" i="3"/>
  <c r="S158" i="3"/>
  <c r="S108" i="3"/>
  <c r="S112" i="3"/>
  <c r="S116" i="3"/>
  <c r="S120" i="3"/>
  <c r="S124" i="3"/>
  <c r="S163" i="3"/>
  <c r="S154" i="3"/>
  <c r="S168" i="3"/>
  <c r="S161" i="3"/>
  <c r="S155" i="3"/>
  <c r="S160" i="3"/>
  <c r="K52" i="3"/>
  <c r="K68" i="3"/>
  <c r="K145" i="3"/>
  <c r="K16" i="3"/>
  <c r="K137" i="3"/>
  <c r="K37" i="3"/>
  <c r="K61" i="3"/>
  <c r="K115" i="3"/>
  <c r="K8" i="3"/>
  <c r="K65" i="3"/>
  <c r="K36" i="3"/>
  <c r="K56" i="3"/>
  <c r="K13" i="3"/>
  <c r="K88" i="3"/>
  <c r="K40" i="3"/>
  <c r="K49" i="3"/>
  <c r="K77" i="3"/>
  <c r="K19" i="3"/>
  <c r="K39" i="3"/>
  <c r="K11" i="3"/>
  <c r="K81" i="3"/>
  <c r="K97" i="3"/>
  <c r="K18" i="3"/>
  <c r="K5" i="3"/>
  <c r="K113" i="3"/>
  <c r="K139" i="3"/>
  <c r="K93" i="3"/>
  <c r="K112" i="3"/>
  <c r="K151" i="3"/>
  <c r="K62" i="3"/>
  <c r="K121" i="3"/>
  <c r="K122" i="3"/>
  <c r="K160" i="3"/>
  <c r="K31" i="3"/>
  <c r="K55" i="3"/>
  <c r="K120" i="3"/>
  <c r="K127" i="3"/>
  <c r="K132" i="3"/>
  <c r="K94" i="3"/>
  <c r="K21" i="3"/>
  <c r="K57" i="3"/>
  <c r="K75" i="3"/>
  <c r="K155" i="3"/>
  <c r="K164" i="3"/>
  <c r="K6" i="3"/>
  <c r="K66" i="3"/>
  <c r="K84" i="3"/>
  <c r="K95" i="3"/>
  <c r="K83" i="3"/>
  <c r="K9" i="3"/>
  <c r="K85" i="3"/>
  <c r="K106" i="3"/>
  <c r="K161" i="3"/>
  <c r="K32" i="3"/>
  <c r="K149" i="3"/>
  <c r="K35" i="3"/>
  <c r="K44" i="3"/>
  <c r="K73" i="3"/>
  <c r="K78" i="3"/>
  <c r="K79" i="3"/>
  <c r="K114" i="3"/>
  <c r="K22" i="3"/>
  <c r="K70" i="3"/>
  <c r="K156" i="3"/>
  <c r="K4" i="3"/>
  <c r="K15" i="3"/>
  <c r="K23" i="3"/>
  <c r="K25" i="3"/>
  <c r="K74" i="3"/>
  <c r="K131" i="3"/>
  <c r="K136" i="3"/>
  <c r="K29" i="3"/>
  <c r="K51" i="3"/>
  <c r="K86" i="3"/>
  <c r="K102" i="3"/>
  <c r="K157" i="3"/>
  <c r="K12" i="3"/>
  <c r="K41" i="3"/>
  <c r="K91" i="3"/>
  <c r="K98" i="3"/>
  <c r="K135" i="3"/>
  <c r="K27" i="3"/>
  <c r="K64" i="3"/>
  <c r="K17" i="3"/>
  <c r="K48" i="3"/>
  <c r="K53" i="3"/>
  <c r="K90" i="3"/>
  <c r="K100" i="3"/>
  <c r="K125" i="3"/>
  <c r="K43" i="3"/>
  <c r="K47" i="3"/>
  <c r="K69" i="3"/>
  <c r="K87" i="3"/>
  <c r="K96" i="3"/>
  <c r="K118" i="3"/>
  <c r="K150" i="3"/>
  <c r="K162" i="3"/>
  <c r="K10" i="3"/>
  <c r="K28" i="3"/>
  <c r="K33" i="3"/>
  <c r="K153" i="3"/>
  <c r="K20" i="3"/>
  <c r="K46" i="3"/>
  <c r="K50" i="3"/>
  <c r="K54" i="3"/>
  <c r="K58" i="3"/>
  <c r="K107" i="3"/>
  <c r="K117" i="3"/>
  <c r="K7" i="3"/>
  <c r="K63" i="3"/>
  <c r="K67" i="3"/>
  <c r="K71" i="3"/>
  <c r="K101" i="3"/>
  <c r="K141" i="3"/>
  <c r="K165" i="3"/>
  <c r="K14" i="3"/>
  <c r="K26" i="3"/>
  <c r="K30" i="3"/>
  <c r="K34" i="3"/>
  <c r="K38" i="3"/>
  <c r="K42" i="3"/>
  <c r="K92" i="3"/>
  <c r="K108" i="3"/>
  <c r="K110" i="3"/>
  <c r="K133" i="3"/>
  <c r="K72" i="3"/>
  <c r="K76" i="3"/>
  <c r="K80" i="3"/>
  <c r="K99" i="3"/>
  <c r="K105" i="3"/>
  <c r="K111" i="3"/>
  <c r="K147" i="3"/>
  <c r="K89" i="3"/>
  <c r="K128" i="3"/>
  <c r="K116" i="3"/>
  <c r="K123" i="3"/>
  <c r="K140" i="3"/>
  <c r="K158" i="3"/>
  <c r="K129" i="3"/>
  <c r="K144" i="3"/>
  <c r="K103" i="3"/>
  <c r="K109" i="3"/>
  <c r="K119" i="3"/>
  <c r="K124" i="3"/>
  <c r="K143" i="3"/>
  <c r="K154" i="3"/>
  <c r="K166" i="3"/>
  <c r="K130" i="3"/>
  <c r="K134" i="3"/>
  <c r="K138" i="3"/>
  <c r="K142" i="3"/>
  <c r="K146" i="3"/>
  <c r="K152" i="3"/>
  <c r="K169" i="3"/>
  <c r="K168" i="3"/>
  <c r="K159" i="3"/>
  <c r="K163" i="3"/>
  <c r="K167" i="3"/>
  <c r="AE49" i="3"/>
  <c r="AE124" i="3"/>
  <c r="AE74" i="3"/>
  <c r="AE92" i="3"/>
  <c r="AE150" i="3"/>
  <c r="AE153" i="3"/>
  <c r="AE21" i="3"/>
  <c r="AE66" i="3"/>
  <c r="AE149" i="3"/>
  <c r="AE10" i="3"/>
  <c r="AE31" i="3"/>
  <c r="AE125" i="3"/>
  <c r="AE88" i="3"/>
  <c r="AE115" i="3"/>
  <c r="AE120" i="3"/>
  <c r="AE84" i="3"/>
  <c r="AE73" i="3"/>
  <c r="AE33" i="3"/>
  <c r="AE85" i="3"/>
  <c r="AE168" i="3"/>
  <c r="AE114" i="3"/>
  <c r="AE48" i="3"/>
  <c r="AE61" i="3"/>
  <c r="AE106" i="3"/>
  <c r="AE9" i="3"/>
  <c r="AE77" i="3"/>
  <c r="AE53" i="3"/>
  <c r="AE43" i="3"/>
  <c r="AE147" i="3"/>
  <c r="AE25" i="3"/>
  <c r="AE18" i="3"/>
  <c r="AE83" i="3"/>
  <c r="AE87" i="3"/>
  <c r="AE102" i="3"/>
  <c r="AE160" i="3"/>
  <c r="AE70" i="3"/>
  <c r="AE99" i="3"/>
  <c r="AE65" i="3"/>
  <c r="AE86" i="3"/>
  <c r="AE22" i="3"/>
  <c r="AE32" i="3"/>
  <c r="AE139" i="3"/>
  <c r="AE96" i="3"/>
  <c r="AE40" i="3"/>
  <c r="AE69" i="3"/>
  <c r="AE93" i="3"/>
  <c r="AE119" i="3"/>
  <c r="AE17" i="3"/>
  <c r="AE135" i="3"/>
  <c r="AE11" i="3"/>
  <c r="AE36" i="3"/>
  <c r="AE97" i="3"/>
  <c r="AE131" i="3"/>
  <c r="AE79" i="3"/>
  <c r="AE140" i="3"/>
  <c r="AE6" i="3"/>
  <c r="AE12" i="3"/>
  <c r="AE81" i="3"/>
  <c r="AE121" i="3"/>
  <c r="AE15" i="3"/>
  <c r="AE41" i="3"/>
  <c r="AE55" i="3"/>
  <c r="AE117" i="3"/>
  <c r="AE16" i="3"/>
  <c r="AE56" i="3"/>
  <c r="AE5" i="3"/>
  <c r="AE28" i="3"/>
  <c r="AE29" i="3"/>
  <c r="AE64" i="3"/>
  <c r="AE127" i="3"/>
  <c r="AE162" i="3"/>
  <c r="AE39" i="3"/>
  <c r="AE111" i="3"/>
  <c r="AE132" i="3"/>
  <c r="AE4" i="3"/>
  <c r="AE19" i="3"/>
  <c r="AE44" i="3"/>
  <c r="AE108" i="3"/>
  <c r="AE110" i="3"/>
  <c r="AE141" i="3"/>
  <c r="AE37" i="3"/>
  <c r="AE62" i="3"/>
  <c r="AE75" i="3"/>
  <c r="AE8" i="3"/>
  <c r="AE35" i="3"/>
  <c r="AE47" i="3"/>
  <c r="AE113" i="3"/>
  <c r="AE129" i="3"/>
  <c r="AE68" i="3"/>
  <c r="AE101" i="3"/>
  <c r="AE116" i="3"/>
  <c r="AE137" i="3"/>
  <c r="AE13" i="3"/>
  <c r="AE23" i="3"/>
  <c r="AE52" i="3"/>
  <c r="AE57" i="3"/>
  <c r="AE78" i="3"/>
  <c r="AE122" i="3"/>
  <c r="AE27" i="3"/>
  <c r="AE51" i="3"/>
  <c r="AE94" i="3"/>
  <c r="AE20" i="3"/>
  <c r="AE46" i="3"/>
  <c r="AE50" i="3"/>
  <c r="AE54" i="3"/>
  <c r="AE58" i="3"/>
  <c r="AE105" i="3"/>
  <c r="AE7" i="3"/>
  <c r="AE63" i="3"/>
  <c r="AE67" i="3"/>
  <c r="AE71" i="3"/>
  <c r="AE95" i="3"/>
  <c r="AE98" i="3"/>
  <c r="AE112" i="3"/>
  <c r="AE144" i="3"/>
  <c r="AE161" i="3"/>
  <c r="AE14" i="3"/>
  <c r="AE26" i="3"/>
  <c r="AE30" i="3"/>
  <c r="AE34" i="3"/>
  <c r="AE38" i="3"/>
  <c r="AE42" i="3"/>
  <c r="AE91" i="3"/>
  <c r="AE123" i="3"/>
  <c r="AE145" i="3"/>
  <c r="AE151" i="3"/>
  <c r="AE72" i="3"/>
  <c r="AE76" i="3"/>
  <c r="AE80" i="3"/>
  <c r="AE89" i="3"/>
  <c r="AE109" i="3"/>
  <c r="AE166" i="3"/>
  <c r="AE90" i="3"/>
  <c r="AE100" i="3"/>
  <c r="AE107" i="3"/>
  <c r="AE136" i="3"/>
  <c r="AE143" i="3"/>
  <c r="AE154" i="3"/>
  <c r="AE118" i="3"/>
  <c r="AE103" i="3"/>
  <c r="AE128" i="3"/>
  <c r="AE133" i="3"/>
  <c r="AE164" i="3"/>
  <c r="AE156" i="3"/>
  <c r="AE165" i="3"/>
  <c r="AE130" i="3"/>
  <c r="AE134" i="3"/>
  <c r="AE138" i="3"/>
  <c r="AE142" i="3"/>
  <c r="AE146" i="3"/>
  <c r="AE169" i="3"/>
  <c r="AE157" i="3"/>
  <c r="AE152" i="3"/>
  <c r="AE158" i="3"/>
  <c r="AE155" i="3"/>
  <c r="AE159" i="3"/>
  <c r="AE163" i="3"/>
  <c r="AE167" i="3"/>
  <c r="AP5" i="3"/>
  <c r="AP46" i="3"/>
  <c r="AP55" i="3"/>
  <c r="AP87" i="3"/>
  <c r="AP6" i="3"/>
  <c r="AP101" i="3"/>
  <c r="AP152" i="3"/>
  <c r="AP27" i="3"/>
  <c r="AP19" i="3"/>
  <c r="AP122" i="3"/>
  <c r="AP131" i="3"/>
  <c r="AP41" i="3"/>
  <c r="AP40" i="3"/>
  <c r="AP83" i="3"/>
  <c r="AP125" i="3"/>
  <c r="AP143" i="3"/>
  <c r="AP72" i="3"/>
  <c r="AP39" i="3"/>
  <c r="AP50" i="3"/>
  <c r="AP138" i="3"/>
  <c r="AP81" i="3"/>
  <c r="AP116" i="3"/>
  <c r="AP86" i="3"/>
  <c r="AP100" i="3"/>
  <c r="AP80" i="3"/>
  <c r="AP20" i="3"/>
  <c r="AP32" i="3"/>
  <c r="AP29" i="3"/>
  <c r="AP73" i="3"/>
  <c r="AP98" i="3"/>
  <c r="AP68" i="3"/>
  <c r="AP22" i="3"/>
  <c r="AP28" i="3"/>
  <c r="AP42" i="3"/>
  <c r="AP124" i="3"/>
  <c r="AP119" i="3"/>
  <c r="AP16" i="3"/>
  <c r="AP75" i="3"/>
  <c r="AP44" i="3"/>
  <c r="AP62" i="3"/>
  <c r="AP79" i="3"/>
  <c r="AP120" i="3"/>
  <c r="AP51" i="3"/>
  <c r="AP115" i="3"/>
  <c r="AP33" i="3"/>
  <c r="AP158" i="3"/>
  <c r="AP67" i="3"/>
  <c r="AP38" i="3"/>
  <c r="AP9" i="3"/>
  <c r="AP117" i="3"/>
  <c r="AP114" i="3"/>
  <c r="AP30" i="3"/>
  <c r="AP92" i="3"/>
  <c r="AP85" i="3"/>
  <c r="AP112" i="3"/>
  <c r="AP63" i="3"/>
  <c r="AP139" i="3"/>
  <c r="AP26" i="3"/>
  <c r="AP146" i="3"/>
  <c r="AP13" i="3"/>
  <c r="AP64" i="3"/>
  <c r="AP37" i="3"/>
  <c r="AP127" i="3"/>
  <c r="AP53" i="3"/>
  <c r="AP57" i="3"/>
  <c r="AP121" i="3"/>
  <c r="AP84" i="3"/>
  <c r="AP129" i="3"/>
  <c r="AP8" i="3"/>
  <c r="AP25" i="3"/>
  <c r="AP88" i="3"/>
  <c r="AP147" i="3"/>
  <c r="AP4" i="3"/>
  <c r="AP12" i="3"/>
  <c r="AP14" i="3"/>
  <c r="AP47" i="3"/>
  <c r="AP123" i="3"/>
  <c r="AP18" i="3"/>
  <c r="AP43" i="3"/>
  <c r="AP66" i="3"/>
  <c r="AP71" i="3"/>
  <c r="AP89" i="3"/>
  <c r="AP93" i="3"/>
  <c r="AP97" i="3"/>
  <c r="AP153" i="3"/>
  <c r="AP15" i="3"/>
  <c r="AP31" i="3"/>
  <c r="AP34" i="3"/>
  <c r="AP36" i="3"/>
  <c r="AP58" i="3"/>
  <c r="AP96" i="3"/>
  <c r="AP106" i="3"/>
  <c r="AP7" i="3"/>
  <c r="AP91" i="3"/>
  <c r="AP74" i="3"/>
  <c r="AP11" i="3"/>
  <c r="AP21" i="3"/>
  <c r="AP35" i="3"/>
  <c r="AP49" i="3"/>
  <c r="AP54" i="3"/>
  <c r="AP103" i="3"/>
  <c r="AP70" i="3"/>
  <c r="AP105" i="3"/>
  <c r="AP163" i="3"/>
  <c r="AP23" i="3"/>
  <c r="AP77" i="3"/>
  <c r="AP90" i="3"/>
  <c r="AP109" i="3"/>
  <c r="AP141" i="3"/>
  <c r="AP164" i="3"/>
  <c r="AP167" i="3"/>
  <c r="AP10" i="3"/>
  <c r="AP48" i="3"/>
  <c r="AP52" i="3"/>
  <c r="AP56" i="3"/>
  <c r="AP76" i="3"/>
  <c r="AP99" i="3"/>
  <c r="AP102" i="3"/>
  <c r="AP108" i="3"/>
  <c r="AP110" i="3"/>
  <c r="AP133" i="3"/>
  <c r="AP159" i="3"/>
  <c r="AP17" i="3"/>
  <c r="AP61" i="3"/>
  <c r="AP65" i="3"/>
  <c r="AP69" i="3"/>
  <c r="AP107" i="3"/>
  <c r="AP134" i="3"/>
  <c r="AP94" i="3"/>
  <c r="AP113" i="3"/>
  <c r="AP137" i="3"/>
  <c r="AP78" i="3"/>
  <c r="AP162" i="3"/>
  <c r="AP168" i="3"/>
  <c r="AP95" i="3"/>
  <c r="AP118" i="3"/>
  <c r="AP142" i="3"/>
  <c r="AP151" i="3"/>
  <c r="AP130" i="3"/>
  <c r="AP145" i="3"/>
  <c r="AP111" i="3"/>
  <c r="AP135" i="3"/>
  <c r="AP149" i="3"/>
  <c r="AP156" i="3"/>
  <c r="AP128" i="3"/>
  <c r="AP132" i="3"/>
  <c r="AP136" i="3"/>
  <c r="AP140" i="3"/>
  <c r="AP144" i="3"/>
  <c r="AP166" i="3"/>
  <c r="AP150" i="3"/>
  <c r="AP154" i="3"/>
  <c r="AP155" i="3"/>
  <c r="AP160" i="3"/>
  <c r="AP157" i="3"/>
  <c r="AP161" i="3"/>
  <c r="AP165" i="3"/>
  <c r="AP169" i="3"/>
  <c r="BB90" i="3"/>
  <c r="BB11" i="3"/>
  <c r="BB35" i="3"/>
  <c r="BB16" i="3"/>
  <c r="BB53" i="3"/>
  <c r="BB96" i="3"/>
  <c r="BB86" i="3"/>
  <c r="BB69" i="3"/>
  <c r="BB63" i="3"/>
  <c r="BB9" i="3"/>
  <c r="BB131" i="3"/>
  <c r="BB56" i="3"/>
  <c r="BB5" i="3"/>
  <c r="BB30" i="3"/>
  <c r="BB36" i="3"/>
  <c r="BB32" i="3"/>
  <c r="BB163" i="3"/>
  <c r="BB74" i="3"/>
  <c r="BB61" i="3"/>
  <c r="BB123" i="3"/>
  <c r="BB72" i="3"/>
  <c r="BB94" i="3"/>
  <c r="BB7" i="3"/>
  <c r="BB15" i="3"/>
  <c r="BB73" i="3"/>
  <c r="BB137" i="3"/>
  <c r="BB38" i="3"/>
  <c r="BB48" i="3"/>
  <c r="BB127" i="3"/>
  <c r="BB151" i="3"/>
  <c r="BB145" i="3"/>
  <c r="BB28" i="3"/>
  <c r="BB17" i="3"/>
  <c r="BB76" i="3"/>
  <c r="BB132" i="3"/>
  <c r="BB12" i="3"/>
  <c r="BB62" i="3"/>
  <c r="BB64" i="3"/>
  <c r="BB71" i="3"/>
  <c r="BB75" i="3"/>
  <c r="BB92" i="3"/>
  <c r="BB111" i="3"/>
  <c r="BB55" i="3"/>
  <c r="BB21" i="3"/>
  <c r="BB26" i="3"/>
  <c r="BB43" i="3"/>
  <c r="BB144" i="3"/>
  <c r="BB156" i="3"/>
  <c r="BB31" i="3"/>
  <c r="BB47" i="3"/>
  <c r="BB78" i="3"/>
  <c r="BB106" i="3"/>
  <c r="BB152" i="3"/>
  <c r="BB18" i="3"/>
  <c r="BB58" i="3"/>
  <c r="BB66" i="3"/>
  <c r="BB87" i="3"/>
  <c r="BB4" i="3"/>
  <c r="BB22" i="3"/>
  <c r="BB39" i="3"/>
  <c r="BB44" i="3"/>
  <c r="BB70" i="3"/>
  <c r="BB77" i="3"/>
  <c r="BB116" i="3"/>
  <c r="BB154" i="3"/>
  <c r="BB157" i="3"/>
  <c r="BB166" i="3"/>
  <c r="BB49" i="3"/>
  <c r="BB54" i="3"/>
  <c r="BB101" i="3"/>
  <c r="BB120" i="3"/>
  <c r="BB85" i="3"/>
  <c r="BB93" i="3"/>
  <c r="BB97" i="3"/>
  <c r="BB105" i="3"/>
  <c r="BB159" i="3"/>
  <c r="BB80" i="3"/>
  <c r="BB136" i="3"/>
  <c r="BB169" i="3"/>
  <c r="BB34" i="3"/>
  <c r="BB67" i="3"/>
  <c r="BB79" i="3"/>
  <c r="BB8" i="3"/>
  <c r="BB135" i="3"/>
  <c r="BB143" i="3"/>
  <c r="BB155" i="3"/>
  <c r="BB10" i="3"/>
  <c r="BB50" i="3"/>
  <c r="BB107" i="3"/>
  <c r="BB124" i="3"/>
  <c r="BB140" i="3"/>
  <c r="BB14" i="3"/>
  <c r="BB20" i="3"/>
  <c r="BB40" i="3"/>
  <c r="BB65" i="3"/>
  <c r="BB100" i="3"/>
  <c r="BB161" i="3"/>
  <c r="BB42" i="3"/>
  <c r="BB68" i="3"/>
  <c r="BB83" i="3"/>
  <c r="BB23" i="3"/>
  <c r="BB52" i="3"/>
  <c r="BB57" i="3"/>
  <c r="BB102" i="3"/>
  <c r="BB108" i="3"/>
  <c r="BB147" i="3"/>
  <c r="BB153" i="3"/>
  <c r="BB27" i="3"/>
  <c r="BB46" i="3"/>
  <c r="BB51" i="3"/>
  <c r="BB81" i="3"/>
  <c r="BB19" i="3"/>
  <c r="BB25" i="3"/>
  <c r="BB29" i="3"/>
  <c r="BB33" i="3"/>
  <c r="BB37" i="3"/>
  <c r="BB41" i="3"/>
  <c r="BB95" i="3"/>
  <c r="BB103" i="3"/>
  <c r="BB165" i="3"/>
  <c r="BB6" i="3"/>
  <c r="BB91" i="3"/>
  <c r="BB114" i="3"/>
  <c r="BB130" i="3"/>
  <c r="BB139" i="3"/>
  <c r="BB13" i="3"/>
  <c r="BB115" i="3"/>
  <c r="BB138" i="3"/>
  <c r="BB88" i="3"/>
  <c r="BB98" i="3"/>
  <c r="BB146" i="3"/>
  <c r="BB84" i="3"/>
  <c r="BB99" i="3"/>
  <c r="BB110" i="3"/>
  <c r="BB112" i="3"/>
  <c r="BB119" i="3"/>
  <c r="BB134" i="3"/>
  <c r="BB141" i="3"/>
  <c r="BB164" i="3"/>
  <c r="BB89" i="3"/>
  <c r="BB122" i="3"/>
  <c r="BB129" i="3"/>
  <c r="BB149" i="3"/>
  <c r="BB118" i="3"/>
  <c r="BB128" i="3"/>
  <c r="BB133" i="3"/>
  <c r="BB150" i="3"/>
  <c r="BB167" i="3"/>
  <c r="BB142" i="3"/>
  <c r="BB168" i="3"/>
  <c r="BB160" i="3"/>
  <c r="BB162" i="3"/>
  <c r="BB109" i="3"/>
  <c r="BB113" i="3"/>
  <c r="BB117" i="3"/>
  <c r="BB121" i="3"/>
  <c r="BB125" i="3"/>
  <c r="BB158" i="3"/>
  <c r="AK88" i="3"/>
  <c r="AK71" i="3"/>
  <c r="AK103" i="3"/>
  <c r="AK6" i="3"/>
  <c r="AK77" i="3"/>
  <c r="AK13" i="3"/>
  <c r="AK142" i="3"/>
  <c r="AK100" i="3"/>
  <c r="AK110" i="3"/>
  <c r="AK43" i="3"/>
  <c r="AK92" i="3"/>
  <c r="AK99" i="3"/>
  <c r="AK146" i="3"/>
  <c r="AK32" i="3"/>
  <c r="AK41" i="3"/>
  <c r="AK40" i="3"/>
  <c r="AK19" i="3"/>
  <c r="AK22" i="3"/>
  <c r="AK23" i="3"/>
  <c r="AK122" i="3"/>
  <c r="AK113" i="3"/>
  <c r="AK28" i="3"/>
  <c r="AK124" i="3"/>
  <c r="AK73" i="3"/>
  <c r="AK155" i="3"/>
  <c r="AK55" i="3"/>
  <c r="AK102" i="3"/>
  <c r="AK160" i="3"/>
  <c r="AK29" i="3"/>
  <c r="AK47" i="3"/>
  <c r="AK68" i="3"/>
  <c r="AK34" i="3"/>
  <c r="AK35" i="3"/>
  <c r="AK11" i="3"/>
  <c r="AK136" i="3"/>
  <c r="AK56" i="3"/>
  <c r="AK101" i="3"/>
  <c r="AK130" i="3"/>
  <c r="AK15" i="3"/>
  <c r="AK89" i="3"/>
  <c r="AK106" i="3"/>
  <c r="AK118" i="3"/>
  <c r="AK117" i="3"/>
  <c r="AK67" i="3"/>
  <c r="AK90" i="3"/>
  <c r="AK54" i="3"/>
  <c r="AK74" i="3"/>
  <c r="AK30" i="3"/>
  <c r="AK31" i="3"/>
  <c r="AK8" i="3"/>
  <c r="AK46" i="3"/>
  <c r="AK84" i="3"/>
  <c r="AK42" i="3"/>
  <c r="AK52" i="3"/>
  <c r="AK4" i="3"/>
  <c r="AK14" i="3"/>
  <c r="AK17" i="3"/>
  <c r="AK21" i="3"/>
  <c r="AK26" i="3"/>
  <c r="AK76" i="3"/>
  <c r="AK108" i="3"/>
  <c r="AK10" i="3"/>
  <c r="AK16" i="3"/>
  <c r="AK37" i="3"/>
  <c r="AK48" i="3"/>
  <c r="AK50" i="3"/>
  <c r="AK61" i="3"/>
  <c r="AK75" i="3"/>
  <c r="AK91" i="3"/>
  <c r="AK98" i="3"/>
  <c r="AK36" i="3"/>
  <c r="AK63" i="3"/>
  <c r="AK83" i="3"/>
  <c r="AK9" i="3"/>
  <c r="AK51" i="3"/>
  <c r="AK78" i="3"/>
  <c r="AK95" i="3"/>
  <c r="AK72" i="3"/>
  <c r="AK94" i="3"/>
  <c r="AK25" i="3"/>
  <c r="AK27" i="3"/>
  <c r="AK69" i="3"/>
  <c r="AK125" i="3"/>
  <c r="AK7" i="3"/>
  <c r="AK39" i="3"/>
  <c r="AK58" i="3"/>
  <c r="AK65" i="3"/>
  <c r="AK107" i="3"/>
  <c r="AK127" i="3"/>
  <c r="AK149" i="3"/>
  <c r="AK168" i="3"/>
  <c r="AK44" i="3"/>
  <c r="AK80" i="3"/>
  <c r="AK87" i="3"/>
  <c r="AK131" i="3"/>
  <c r="AK144" i="3"/>
  <c r="AK20" i="3"/>
  <c r="AK33" i="3"/>
  <c r="AK38" i="3"/>
  <c r="AK64" i="3"/>
  <c r="AK112" i="3"/>
  <c r="AK18" i="3"/>
  <c r="AK81" i="3"/>
  <c r="AK93" i="3"/>
  <c r="AK119" i="3"/>
  <c r="AK132" i="3"/>
  <c r="AK5" i="3"/>
  <c r="AK49" i="3"/>
  <c r="AK53" i="3"/>
  <c r="AK57" i="3"/>
  <c r="AK86" i="3"/>
  <c r="AK143" i="3"/>
  <c r="AK169" i="3"/>
  <c r="AK12" i="3"/>
  <c r="AK62" i="3"/>
  <c r="AK66" i="3"/>
  <c r="AK70" i="3"/>
  <c r="AK85" i="3"/>
  <c r="AK135" i="3"/>
  <c r="AK153" i="3"/>
  <c r="AK96" i="3"/>
  <c r="AK111" i="3"/>
  <c r="AK147" i="3"/>
  <c r="AK150" i="3"/>
  <c r="AK156" i="3"/>
  <c r="AK79" i="3"/>
  <c r="AK105" i="3"/>
  <c r="AK121" i="3"/>
  <c r="AK128" i="3"/>
  <c r="AK157" i="3"/>
  <c r="AK167" i="3"/>
  <c r="AK97" i="3"/>
  <c r="AK116" i="3"/>
  <c r="AK123" i="3"/>
  <c r="AK138" i="3"/>
  <c r="AK140" i="3"/>
  <c r="AK134" i="3"/>
  <c r="AK161" i="3"/>
  <c r="AK115" i="3"/>
  <c r="AK120" i="3"/>
  <c r="AK139" i="3"/>
  <c r="AK109" i="3"/>
  <c r="AK114" i="3"/>
  <c r="AK154" i="3"/>
  <c r="AK163" i="3"/>
  <c r="AK129" i="3"/>
  <c r="AK133" i="3"/>
  <c r="AK137" i="3"/>
  <c r="AK141" i="3"/>
  <c r="AK145" i="3"/>
  <c r="AK152" i="3"/>
  <c r="AK165" i="3"/>
  <c r="AK159" i="3"/>
  <c r="AK164" i="3"/>
  <c r="AK151" i="3"/>
  <c r="AK158" i="3"/>
  <c r="AK162" i="3"/>
  <c r="AK166" i="3"/>
  <c r="AL70" i="3"/>
  <c r="AL71" i="3"/>
  <c r="AL40" i="3"/>
  <c r="AL7" i="3"/>
  <c r="AL13" i="3"/>
  <c r="AL41" i="3"/>
  <c r="AL52" i="3"/>
  <c r="AL22" i="3"/>
  <c r="AL92" i="3"/>
  <c r="AL6" i="3"/>
  <c r="AL33" i="3"/>
  <c r="AL32" i="3"/>
  <c r="AL103" i="3"/>
  <c r="AL125" i="3"/>
  <c r="AL99" i="3"/>
  <c r="AL29" i="3"/>
  <c r="AL35" i="3"/>
  <c r="AL66" i="3"/>
  <c r="AL28" i="3"/>
  <c r="AL74" i="3"/>
  <c r="AL114" i="3"/>
  <c r="AL25" i="3"/>
  <c r="AL47" i="3"/>
  <c r="AL122" i="3"/>
  <c r="AL38" i="3"/>
  <c r="AL155" i="3"/>
  <c r="AL68" i="3"/>
  <c r="AL54" i="3"/>
  <c r="AL20" i="3"/>
  <c r="AL55" i="3"/>
  <c r="AL102" i="3"/>
  <c r="AL160" i="3"/>
  <c r="AL146" i="3"/>
  <c r="AL67" i="3"/>
  <c r="AL89" i="3"/>
  <c r="AL90" i="3"/>
  <c r="AL136" i="3"/>
  <c r="AL43" i="3"/>
  <c r="AL56" i="3"/>
  <c r="AL101" i="3"/>
  <c r="AL130" i="3"/>
  <c r="AL69" i="3"/>
  <c r="AL138" i="3"/>
  <c r="AL8" i="3"/>
  <c r="AL42" i="3"/>
  <c r="AL77" i="3"/>
  <c r="AL97" i="3"/>
  <c r="AL30" i="3"/>
  <c r="AL31" i="3"/>
  <c r="AL63" i="3"/>
  <c r="AL141" i="3"/>
  <c r="AL46" i="3"/>
  <c r="AL84" i="3"/>
  <c r="AL15" i="3"/>
  <c r="AL19" i="3"/>
  <c r="AL23" i="3"/>
  <c r="AL88" i="3"/>
  <c r="AL113" i="3"/>
  <c r="AL118" i="3"/>
  <c r="AL154" i="3"/>
  <c r="AL4" i="3"/>
  <c r="AL12" i="3"/>
  <c r="AL14" i="3"/>
  <c r="AL17" i="3"/>
  <c r="AL21" i="3"/>
  <c r="AL26" i="3"/>
  <c r="AL76" i="3"/>
  <c r="AL137" i="3"/>
  <c r="AL10" i="3"/>
  <c r="AL16" i="3"/>
  <c r="AL27" i="3"/>
  <c r="AL37" i="3"/>
  <c r="AL48" i="3"/>
  <c r="AL50" i="3"/>
  <c r="AL61" i="3"/>
  <c r="AL62" i="3"/>
  <c r="AL75" i="3"/>
  <c r="AL91" i="3"/>
  <c r="AL98" i="3"/>
  <c r="AL135" i="3"/>
  <c r="AL163" i="3"/>
  <c r="AL34" i="3"/>
  <c r="AL36" i="3"/>
  <c r="AL64" i="3"/>
  <c r="AL106" i="3"/>
  <c r="AL9" i="3"/>
  <c r="AL51" i="3"/>
  <c r="AL78" i="3"/>
  <c r="AL95" i="3"/>
  <c r="AL72" i="3"/>
  <c r="AL94" i="3"/>
  <c r="AL73" i="3"/>
  <c r="AL100" i="3"/>
  <c r="AL117" i="3"/>
  <c r="AL39" i="3"/>
  <c r="AL58" i="3"/>
  <c r="AL65" i="3"/>
  <c r="AL107" i="3"/>
  <c r="AL123" i="3"/>
  <c r="AL127" i="3"/>
  <c r="AL149" i="3"/>
  <c r="AL168" i="3"/>
  <c r="AL44" i="3"/>
  <c r="AL80" i="3"/>
  <c r="AL85" i="3"/>
  <c r="AL131" i="3"/>
  <c r="AL144" i="3"/>
  <c r="AL11" i="3"/>
  <c r="AL110" i="3"/>
  <c r="AL142" i="3"/>
  <c r="AL18" i="3"/>
  <c r="AL81" i="3"/>
  <c r="AL93" i="3"/>
  <c r="AL119" i="3"/>
  <c r="AL132" i="3"/>
  <c r="AL5" i="3"/>
  <c r="AL49" i="3"/>
  <c r="AL53" i="3"/>
  <c r="AL57" i="3"/>
  <c r="AL86" i="3"/>
  <c r="AL143" i="3"/>
  <c r="AL169" i="3"/>
  <c r="AL83" i="3"/>
  <c r="AL87" i="3"/>
  <c r="AL151" i="3"/>
  <c r="AL96" i="3"/>
  <c r="AL109" i="3"/>
  <c r="AL111" i="3"/>
  <c r="AL133" i="3"/>
  <c r="AL147" i="3"/>
  <c r="AL150" i="3"/>
  <c r="AL152" i="3"/>
  <c r="AL156" i="3"/>
  <c r="AL79" i="3"/>
  <c r="AL105" i="3"/>
  <c r="AL121" i="3"/>
  <c r="AL128" i="3"/>
  <c r="AL145" i="3"/>
  <c r="AL157" i="3"/>
  <c r="AL167" i="3"/>
  <c r="AL140" i="3"/>
  <c r="AL129" i="3"/>
  <c r="AL134" i="3"/>
  <c r="AL115" i="3"/>
  <c r="AL139" i="3"/>
  <c r="AL108" i="3"/>
  <c r="AL112" i="3"/>
  <c r="AL116" i="3"/>
  <c r="AL120" i="3"/>
  <c r="AL124" i="3"/>
  <c r="AL153" i="3"/>
  <c r="AL161" i="3"/>
  <c r="AL165" i="3"/>
  <c r="AL159" i="3"/>
  <c r="AL164" i="3"/>
  <c r="AL158" i="3"/>
  <c r="AL162" i="3"/>
  <c r="AL166" i="3"/>
  <c r="AQ6" i="3"/>
  <c r="AQ55" i="3"/>
  <c r="AQ101" i="3"/>
  <c r="AQ20" i="3"/>
  <c r="AQ138" i="3"/>
  <c r="AQ81" i="3"/>
  <c r="AQ12" i="3"/>
  <c r="AQ27" i="3"/>
  <c r="AQ100" i="3"/>
  <c r="AQ57" i="3"/>
  <c r="AQ39" i="3"/>
  <c r="AQ91" i="3"/>
  <c r="AQ70" i="3"/>
  <c r="AQ122" i="3"/>
  <c r="AQ134" i="3"/>
  <c r="AQ7" i="3"/>
  <c r="AQ80" i="3"/>
  <c r="AQ83" i="3"/>
  <c r="AQ143" i="3"/>
  <c r="AQ50" i="3"/>
  <c r="AQ125" i="3"/>
  <c r="AQ41" i="3"/>
  <c r="AQ150" i="3"/>
  <c r="AQ4" i="3"/>
  <c r="AQ38" i="3"/>
  <c r="AQ98" i="3"/>
  <c r="AQ22" i="3"/>
  <c r="AQ163" i="3"/>
  <c r="AQ28" i="3"/>
  <c r="AQ124" i="3"/>
  <c r="AQ68" i="3"/>
  <c r="AQ65" i="3"/>
  <c r="AQ120" i="3"/>
  <c r="AQ51" i="3"/>
  <c r="AQ14" i="3"/>
  <c r="AQ33" i="3"/>
  <c r="AQ42" i="3"/>
  <c r="AQ67" i="3"/>
  <c r="AQ105" i="3"/>
  <c r="AQ44" i="3"/>
  <c r="AQ62" i="3"/>
  <c r="AQ128" i="3"/>
  <c r="AQ19" i="3"/>
  <c r="AQ85" i="3"/>
  <c r="AQ112" i="3"/>
  <c r="AQ26" i="3"/>
  <c r="AQ63" i="3"/>
  <c r="AQ136" i="3"/>
  <c r="AQ9" i="3"/>
  <c r="AQ17" i="3"/>
  <c r="AQ32" i="3"/>
  <c r="AQ47" i="3"/>
  <c r="AQ13" i="3"/>
  <c r="AQ64" i="3"/>
  <c r="AQ69" i="3"/>
  <c r="AQ155" i="3"/>
  <c r="AQ73" i="3"/>
  <c r="AQ95" i="3"/>
  <c r="AQ158" i="3"/>
  <c r="AQ37" i="3"/>
  <c r="AQ127" i="3"/>
  <c r="AQ144" i="3"/>
  <c r="AQ46" i="3"/>
  <c r="AQ72" i="3"/>
  <c r="AQ92" i="3"/>
  <c r="AQ160" i="3"/>
  <c r="AQ129" i="3"/>
  <c r="AQ88" i="3"/>
  <c r="AQ118" i="3"/>
  <c r="AQ147" i="3"/>
  <c r="AQ5" i="3"/>
  <c r="AQ29" i="3"/>
  <c r="AQ53" i="3"/>
  <c r="AQ61" i="3"/>
  <c r="AQ114" i="3"/>
  <c r="AQ43" i="3"/>
  <c r="AQ66" i="3"/>
  <c r="AQ71" i="3"/>
  <c r="AQ89" i="3"/>
  <c r="AQ93" i="3"/>
  <c r="AQ97" i="3"/>
  <c r="AQ153" i="3"/>
  <c r="AQ15" i="3"/>
  <c r="AQ31" i="3"/>
  <c r="AQ34" i="3"/>
  <c r="AQ36" i="3"/>
  <c r="AQ58" i="3"/>
  <c r="AQ8" i="3"/>
  <c r="AQ18" i="3"/>
  <c r="AQ25" i="3"/>
  <c r="AQ30" i="3"/>
  <c r="AQ40" i="3"/>
  <c r="AQ79" i="3"/>
  <c r="AQ84" i="3"/>
  <c r="AQ96" i="3"/>
  <c r="AQ139" i="3"/>
  <c r="AQ146" i="3"/>
  <c r="AQ152" i="3"/>
  <c r="AQ166" i="3"/>
  <c r="AQ74" i="3"/>
  <c r="AQ132" i="3"/>
  <c r="AQ11" i="3"/>
  <c r="AQ21" i="3"/>
  <c r="AQ35" i="3"/>
  <c r="AQ49" i="3"/>
  <c r="AQ54" i="3"/>
  <c r="AQ103" i="3"/>
  <c r="AQ16" i="3"/>
  <c r="AQ75" i="3"/>
  <c r="AQ87" i="3"/>
  <c r="AQ117" i="3"/>
  <c r="AQ131" i="3"/>
  <c r="AQ23" i="3"/>
  <c r="AQ77" i="3"/>
  <c r="AQ90" i="3"/>
  <c r="AQ109" i="3"/>
  <c r="AQ141" i="3"/>
  <c r="AQ164" i="3"/>
  <c r="AQ167" i="3"/>
  <c r="AQ10" i="3"/>
  <c r="AQ48" i="3"/>
  <c r="AQ52" i="3"/>
  <c r="AQ56" i="3"/>
  <c r="AQ76" i="3"/>
  <c r="AQ99" i="3"/>
  <c r="AQ102" i="3"/>
  <c r="AQ108" i="3"/>
  <c r="AQ110" i="3"/>
  <c r="AQ133" i="3"/>
  <c r="AQ142" i="3"/>
  <c r="AQ159" i="3"/>
  <c r="AQ86" i="3"/>
  <c r="AQ106" i="3"/>
  <c r="AQ94" i="3"/>
  <c r="AQ113" i="3"/>
  <c r="AQ135" i="3"/>
  <c r="AQ137" i="3"/>
  <c r="AQ78" i="3"/>
  <c r="AQ162" i="3"/>
  <c r="AQ116" i="3"/>
  <c r="AQ121" i="3"/>
  <c r="AQ151" i="3"/>
  <c r="AQ130" i="3"/>
  <c r="AQ140" i="3"/>
  <c r="AQ145" i="3"/>
  <c r="AQ107" i="3"/>
  <c r="AQ111" i="3"/>
  <c r="AQ115" i="3"/>
  <c r="AQ119" i="3"/>
  <c r="AQ123" i="3"/>
  <c r="AQ149" i="3"/>
  <c r="AQ154" i="3"/>
  <c r="AQ168" i="3"/>
  <c r="AQ156" i="3"/>
  <c r="AQ157" i="3"/>
  <c r="AQ161" i="3"/>
  <c r="AQ165" i="3"/>
  <c r="AQ169" i="3"/>
  <c r="BH25" i="3"/>
  <c r="BH99" i="3"/>
  <c r="BH18" i="3"/>
  <c r="BH77" i="3"/>
  <c r="BH79" i="3"/>
  <c r="BH8" i="3"/>
  <c r="BH49" i="3"/>
  <c r="BH138" i="3"/>
  <c r="BH34" i="3"/>
  <c r="BH92" i="3"/>
  <c r="BH12" i="3"/>
  <c r="BH80" i="3"/>
  <c r="BH130" i="3"/>
  <c r="BH90" i="3"/>
  <c r="BH127" i="3"/>
  <c r="BH10" i="3"/>
  <c r="BH70" i="3"/>
  <c r="BH26" i="3"/>
  <c r="BH102" i="3"/>
  <c r="BH76" i="3"/>
  <c r="BH43" i="3"/>
  <c r="BH48" i="3"/>
  <c r="BH63" i="3"/>
  <c r="BH71" i="3"/>
  <c r="BH42" i="3"/>
  <c r="BH6" i="3"/>
  <c r="BH46" i="3"/>
  <c r="BH41" i="3"/>
  <c r="BH21" i="3"/>
  <c r="BH118" i="3"/>
  <c r="BH119" i="3"/>
  <c r="BH145" i="3"/>
  <c r="BH15" i="3"/>
  <c r="BH167" i="3"/>
  <c r="BH84" i="3"/>
  <c r="BH151" i="3"/>
  <c r="BH161" i="3"/>
  <c r="BH27" i="3"/>
  <c r="BH72" i="3"/>
  <c r="BH163" i="3"/>
  <c r="BH57" i="3"/>
  <c r="BH9" i="3"/>
  <c r="BH35" i="3"/>
  <c r="BH73" i="3"/>
  <c r="BH147" i="3"/>
  <c r="BH29" i="3"/>
  <c r="BH141" i="3"/>
  <c r="BH14" i="3"/>
  <c r="BH31" i="3"/>
  <c r="BH55" i="3"/>
  <c r="BH88" i="3"/>
  <c r="BH95" i="3"/>
  <c r="BH68" i="3"/>
  <c r="BH142" i="3"/>
  <c r="BH106" i="3"/>
  <c r="BH5" i="3"/>
  <c r="BH50" i="3"/>
  <c r="BH51" i="3"/>
  <c r="BH23" i="3"/>
  <c r="BH78" i="3"/>
  <c r="BH74" i="3"/>
  <c r="BH111" i="3"/>
  <c r="BH153" i="3"/>
  <c r="BH157" i="3"/>
  <c r="BH52" i="3"/>
  <c r="BH94" i="3"/>
  <c r="BH168" i="3"/>
  <c r="BH66" i="3"/>
  <c r="BH100" i="3"/>
  <c r="BH103" i="3"/>
  <c r="BH107" i="3"/>
  <c r="BH110" i="3"/>
  <c r="BH158" i="3"/>
  <c r="BH13" i="3"/>
  <c r="BH19" i="3"/>
  <c r="BH22" i="3"/>
  <c r="BH117" i="3"/>
  <c r="BH146" i="3"/>
  <c r="BH30" i="3"/>
  <c r="BH37" i="3"/>
  <c r="BH54" i="3"/>
  <c r="BH62" i="3"/>
  <c r="BH133" i="3"/>
  <c r="BH16" i="3"/>
  <c r="BH47" i="3"/>
  <c r="BH56" i="3"/>
  <c r="BH67" i="3"/>
  <c r="BH75" i="3"/>
  <c r="BH122" i="3"/>
  <c r="BH7" i="3"/>
  <c r="BH39" i="3"/>
  <c r="BH53" i="3"/>
  <c r="BH58" i="3"/>
  <c r="BH121" i="3"/>
  <c r="BH162" i="3"/>
  <c r="BH91" i="3"/>
  <c r="BH135" i="3"/>
  <c r="BH20" i="3"/>
  <c r="BH33" i="3"/>
  <c r="BH38" i="3"/>
  <c r="BH64" i="3"/>
  <c r="BH17" i="3"/>
  <c r="BH61" i="3"/>
  <c r="BH65" i="3"/>
  <c r="BH69" i="3"/>
  <c r="BH81" i="3"/>
  <c r="BH113" i="3"/>
  <c r="BH160" i="3"/>
  <c r="BH4" i="3"/>
  <c r="BH28" i="3"/>
  <c r="BH32" i="3"/>
  <c r="BH36" i="3"/>
  <c r="BH40" i="3"/>
  <c r="BH44" i="3"/>
  <c r="BH86" i="3"/>
  <c r="BH137" i="3"/>
  <c r="BH149" i="3"/>
  <c r="BH11" i="3"/>
  <c r="BH85" i="3"/>
  <c r="BH98" i="3"/>
  <c r="BH123" i="3"/>
  <c r="BH125" i="3"/>
  <c r="BH105" i="3"/>
  <c r="BH131" i="3"/>
  <c r="BH83" i="3"/>
  <c r="BH87" i="3"/>
  <c r="BH96" i="3"/>
  <c r="BH143" i="3"/>
  <c r="BH89" i="3"/>
  <c r="BH93" i="3"/>
  <c r="BH97" i="3"/>
  <c r="BH101" i="3"/>
  <c r="BH129" i="3"/>
  <c r="BH134" i="3"/>
  <c r="BH166" i="3"/>
  <c r="BH115" i="3"/>
  <c r="BH139" i="3"/>
  <c r="BH155" i="3"/>
  <c r="BH109" i="3"/>
  <c r="BH114" i="3"/>
  <c r="BH156" i="3"/>
  <c r="BH128" i="3"/>
  <c r="BH132" i="3"/>
  <c r="BH136" i="3"/>
  <c r="BH140" i="3"/>
  <c r="BH144" i="3"/>
  <c r="BH169" i="3"/>
  <c r="BH108" i="3"/>
  <c r="BH112" i="3"/>
  <c r="BH116" i="3"/>
  <c r="BH120" i="3"/>
  <c r="BH124" i="3"/>
  <c r="BH152" i="3"/>
  <c r="BH150" i="3"/>
  <c r="BH154" i="3"/>
  <c r="BH165" i="3"/>
  <c r="BH159" i="3"/>
  <c r="BH164" i="3"/>
  <c r="W47" i="3"/>
  <c r="W68" i="3"/>
  <c r="W46" i="3"/>
  <c r="W25" i="3"/>
  <c r="W138" i="3"/>
  <c r="W32" i="3"/>
  <c r="W34" i="3"/>
  <c r="W167" i="3"/>
  <c r="W65" i="3"/>
  <c r="W64" i="3"/>
  <c r="W7" i="3"/>
  <c r="W73" i="3"/>
  <c r="W21" i="3"/>
  <c r="W58" i="3"/>
  <c r="W110" i="3"/>
  <c r="W91" i="3"/>
  <c r="W152" i="3"/>
  <c r="W9" i="3"/>
  <c r="W53" i="3"/>
  <c r="W17" i="3"/>
  <c r="W80" i="3"/>
  <c r="W79" i="3"/>
  <c r="W85" i="3"/>
  <c r="W8" i="3"/>
  <c r="W37" i="3"/>
  <c r="W4" i="3"/>
  <c r="W35" i="3"/>
  <c r="W43" i="3"/>
  <c r="W69" i="3"/>
  <c r="W54" i="3"/>
  <c r="W5" i="3"/>
  <c r="W19" i="3"/>
  <c r="W39" i="3"/>
  <c r="W12" i="3"/>
  <c r="W30" i="3"/>
  <c r="W63" i="3"/>
  <c r="W89" i="3"/>
  <c r="W90" i="3"/>
  <c r="W96" i="3"/>
  <c r="W49" i="3"/>
  <c r="W132" i="3"/>
  <c r="W26" i="3"/>
  <c r="W87" i="3"/>
  <c r="W144" i="3"/>
  <c r="W36" i="3"/>
  <c r="W103" i="3"/>
  <c r="W108" i="3"/>
  <c r="W142" i="3"/>
  <c r="W38" i="3"/>
  <c r="W13" i="3"/>
  <c r="W29" i="3"/>
  <c r="W72" i="3"/>
  <c r="W77" i="3"/>
  <c r="W133" i="3"/>
  <c r="W27" i="3"/>
  <c r="W42" i="3"/>
  <c r="W70" i="3"/>
  <c r="W83" i="3"/>
  <c r="W125" i="3"/>
  <c r="W101" i="3"/>
  <c r="W137" i="3"/>
  <c r="W160" i="3"/>
  <c r="W134" i="3"/>
  <c r="W18" i="3"/>
  <c r="W28" i="3"/>
  <c r="W40" i="3"/>
  <c r="W51" i="3"/>
  <c r="W62" i="3"/>
  <c r="W74" i="3"/>
  <c r="W118" i="3"/>
  <c r="W135" i="3"/>
  <c r="W112" i="3"/>
  <c r="W44" i="3"/>
  <c r="W67" i="3"/>
  <c r="W92" i="3"/>
  <c r="W98" i="3"/>
  <c r="W122" i="3"/>
  <c r="W129" i="3"/>
  <c r="W121" i="3"/>
  <c r="W145" i="3"/>
  <c r="W6" i="3"/>
  <c r="W151" i="3"/>
  <c r="W162" i="3"/>
  <c r="W41" i="3"/>
  <c r="W124" i="3"/>
  <c r="W143" i="3"/>
  <c r="W14" i="3"/>
  <c r="W20" i="3"/>
  <c r="W113" i="3"/>
  <c r="W11" i="3"/>
  <c r="W33" i="3"/>
  <c r="W57" i="3"/>
  <c r="W76" i="3"/>
  <c r="W84" i="3"/>
  <c r="W22" i="3"/>
  <c r="W81" i="3"/>
  <c r="W88" i="3"/>
  <c r="W120" i="3"/>
  <c r="W154" i="3"/>
  <c r="W15" i="3"/>
  <c r="W31" i="3"/>
  <c r="W50" i="3"/>
  <c r="W55" i="3"/>
  <c r="W102" i="3"/>
  <c r="W164" i="3"/>
  <c r="W61" i="3"/>
  <c r="W66" i="3"/>
  <c r="W71" i="3"/>
  <c r="W95" i="3"/>
  <c r="W99" i="3"/>
  <c r="W109" i="3"/>
  <c r="W16" i="3"/>
  <c r="W97" i="3"/>
  <c r="W100" i="3"/>
  <c r="W23" i="3"/>
  <c r="W75" i="3"/>
  <c r="W116" i="3"/>
  <c r="W127" i="3"/>
  <c r="W128" i="3"/>
  <c r="W10" i="3"/>
  <c r="W48" i="3"/>
  <c r="W52" i="3"/>
  <c r="W56" i="3"/>
  <c r="W114" i="3"/>
  <c r="W130" i="3"/>
  <c r="W140" i="3"/>
  <c r="W147" i="3"/>
  <c r="W150" i="3"/>
  <c r="W158" i="3"/>
  <c r="W163" i="3"/>
  <c r="W168" i="3"/>
  <c r="W86" i="3"/>
  <c r="W93" i="3"/>
  <c r="W155" i="3"/>
  <c r="W159" i="3"/>
  <c r="W117" i="3"/>
  <c r="W78" i="3"/>
  <c r="W94" i="3"/>
  <c r="W139" i="3"/>
  <c r="W105" i="3"/>
  <c r="W106" i="3"/>
  <c r="W136" i="3"/>
  <c r="W141" i="3"/>
  <c r="W146" i="3"/>
  <c r="W131" i="3"/>
  <c r="W153" i="3"/>
  <c r="W107" i="3"/>
  <c r="W111" i="3"/>
  <c r="W115" i="3"/>
  <c r="W119" i="3"/>
  <c r="W123" i="3"/>
  <c r="W149" i="3"/>
  <c r="W156" i="3"/>
  <c r="W166" i="3"/>
  <c r="W157" i="3"/>
  <c r="W161" i="3"/>
  <c r="W165" i="3"/>
  <c r="W169" i="3"/>
  <c r="BG29" i="3"/>
  <c r="BG6" i="3"/>
  <c r="BG168" i="3"/>
  <c r="BG25" i="3"/>
  <c r="BG99" i="3"/>
  <c r="BG70" i="3"/>
  <c r="BG78" i="3"/>
  <c r="BG69" i="3"/>
  <c r="BG130" i="3"/>
  <c r="BG68" i="3"/>
  <c r="BG71" i="3"/>
  <c r="BG49" i="3"/>
  <c r="BG43" i="3"/>
  <c r="BG102" i="3"/>
  <c r="BG63" i="3"/>
  <c r="BG90" i="3"/>
  <c r="BG10" i="3"/>
  <c r="BG52" i="3"/>
  <c r="BG132" i="3"/>
  <c r="BG77" i="3"/>
  <c r="BG79" i="3"/>
  <c r="BG121" i="3"/>
  <c r="BG21" i="3"/>
  <c r="BG15" i="3"/>
  <c r="BG93" i="3"/>
  <c r="BG167" i="3"/>
  <c r="BG72" i="3"/>
  <c r="BG106" i="3"/>
  <c r="BG163" i="3"/>
  <c r="BG7" i="3"/>
  <c r="BG46" i="3"/>
  <c r="BG84" i="3"/>
  <c r="BG151" i="3"/>
  <c r="BG161" i="3"/>
  <c r="BG27" i="3"/>
  <c r="BG58" i="3"/>
  <c r="BG13" i="3"/>
  <c r="BG118" i="3"/>
  <c r="BG119" i="3"/>
  <c r="BG145" i="3"/>
  <c r="BG22" i="3"/>
  <c r="BG8" i="3"/>
  <c r="BG34" i="3"/>
  <c r="BG73" i="3"/>
  <c r="BG140" i="3"/>
  <c r="BG147" i="3"/>
  <c r="BG14" i="3"/>
  <c r="BG23" i="3"/>
  <c r="BG31" i="3"/>
  <c r="BG88" i="3"/>
  <c r="BG95" i="3"/>
  <c r="BG142" i="3"/>
  <c r="BG9" i="3"/>
  <c r="BG35" i="3"/>
  <c r="BG157" i="3"/>
  <c r="BG57" i="3"/>
  <c r="BG141" i="3"/>
  <c r="BG12" i="3"/>
  <c r="BG41" i="3"/>
  <c r="BG113" i="3"/>
  <c r="BG158" i="3"/>
  <c r="BG5" i="3"/>
  <c r="BG51" i="3"/>
  <c r="BG61" i="3"/>
  <c r="BG19" i="3"/>
  <c r="BG74" i="3"/>
  <c r="BG111" i="3"/>
  <c r="BG153" i="3"/>
  <c r="BG166" i="3"/>
  <c r="BG50" i="3"/>
  <c r="BG26" i="3"/>
  <c r="BG80" i="3"/>
  <c r="BG53" i="3"/>
  <c r="BG66" i="3"/>
  <c r="BG81" i="3"/>
  <c r="BG100" i="3"/>
  <c r="BG103" i="3"/>
  <c r="BG107" i="3"/>
  <c r="BG110" i="3"/>
  <c r="BG128" i="3"/>
  <c r="BG39" i="3"/>
  <c r="BG117" i="3"/>
  <c r="BG55" i="3"/>
  <c r="BG65" i="3"/>
  <c r="BG97" i="3"/>
  <c r="BG146" i="3"/>
  <c r="BG30" i="3"/>
  <c r="BG37" i="3"/>
  <c r="BG54" i="3"/>
  <c r="BG62" i="3"/>
  <c r="BG133" i="3"/>
  <c r="BG16" i="3"/>
  <c r="BG47" i="3"/>
  <c r="BG56" i="3"/>
  <c r="BG67" i="3"/>
  <c r="BG75" i="3"/>
  <c r="BG122" i="3"/>
  <c r="BG42" i="3"/>
  <c r="BG138" i="3"/>
  <c r="BG91" i="3"/>
  <c r="BG135" i="3"/>
  <c r="BG20" i="3"/>
  <c r="BG33" i="3"/>
  <c r="BG38" i="3"/>
  <c r="BG64" i="3"/>
  <c r="BG129" i="3"/>
  <c r="BG136" i="3"/>
  <c r="BG160" i="3"/>
  <c r="BG17" i="3"/>
  <c r="BG48" i="3"/>
  <c r="BG76" i="3"/>
  <c r="BG94" i="3"/>
  <c r="BG134" i="3"/>
  <c r="BG4" i="3"/>
  <c r="BG28" i="3"/>
  <c r="BG32" i="3"/>
  <c r="BG36" i="3"/>
  <c r="BG40" i="3"/>
  <c r="BG44" i="3"/>
  <c r="BG86" i="3"/>
  <c r="BG105" i="3"/>
  <c r="BG137" i="3"/>
  <c r="BG149" i="3"/>
  <c r="BG150" i="3"/>
  <c r="BG11" i="3"/>
  <c r="BG85" i="3"/>
  <c r="BG89" i="3"/>
  <c r="BG98" i="3"/>
  <c r="BG101" i="3"/>
  <c r="BG123" i="3"/>
  <c r="BG125" i="3"/>
  <c r="BG18" i="3"/>
  <c r="BG92" i="3"/>
  <c r="BG127" i="3"/>
  <c r="BG131" i="3"/>
  <c r="BG83" i="3"/>
  <c r="BG87" i="3"/>
  <c r="BG96" i="3"/>
  <c r="BG143" i="3"/>
  <c r="BG154" i="3"/>
  <c r="BG115" i="3"/>
  <c r="BG139" i="3"/>
  <c r="BG155" i="3"/>
  <c r="BG109" i="3"/>
  <c r="BG114" i="3"/>
  <c r="BG156" i="3"/>
  <c r="BG165" i="3"/>
  <c r="BG144" i="3"/>
  <c r="BG169" i="3"/>
  <c r="BG108" i="3"/>
  <c r="BG112" i="3"/>
  <c r="BG116" i="3"/>
  <c r="BG120" i="3"/>
  <c r="BG124" i="3"/>
  <c r="BG152" i="3"/>
  <c r="BG162" i="3"/>
  <c r="BG159" i="3"/>
  <c r="BG164" i="3"/>
  <c r="T13" i="3"/>
  <c r="T107" i="3"/>
  <c r="T31" i="3"/>
  <c r="T81" i="3"/>
  <c r="T41" i="3"/>
  <c r="T151" i="3"/>
  <c r="T73" i="3"/>
  <c r="T22" i="3"/>
  <c r="T51" i="3"/>
  <c r="T14" i="3"/>
  <c r="T37" i="3"/>
  <c r="T48" i="3"/>
  <c r="T75" i="3"/>
  <c r="T111" i="3"/>
  <c r="T29" i="3"/>
  <c r="T53" i="3"/>
  <c r="T15" i="3"/>
  <c r="T153" i="3"/>
  <c r="T141" i="3"/>
  <c r="T72" i="3"/>
  <c r="T119" i="3"/>
  <c r="T16" i="3"/>
  <c r="T47" i="3"/>
  <c r="T166" i="3"/>
  <c r="T118" i="3"/>
  <c r="T147" i="3"/>
  <c r="T103" i="3"/>
  <c r="T46" i="3"/>
  <c r="T91" i="3"/>
  <c r="T99" i="3"/>
  <c r="T10" i="3"/>
  <c r="T6" i="3"/>
  <c r="T57" i="3"/>
  <c r="T71" i="3"/>
  <c r="T84" i="3"/>
  <c r="T117" i="3"/>
  <c r="T152" i="3"/>
  <c r="T43" i="3"/>
  <c r="T123" i="3"/>
  <c r="T62" i="3"/>
  <c r="T79" i="3"/>
  <c r="T12" i="3"/>
  <c r="T113" i="3"/>
  <c r="T157" i="3"/>
  <c r="T56" i="3"/>
  <c r="T64" i="3"/>
  <c r="T159" i="3"/>
  <c r="T42" i="3"/>
  <c r="T137" i="3"/>
  <c r="T9" i="3"/>
  <c r="T20" i="3"/>
  <c r="T135" i="3"/>
  <c r="T52" i="3"/>
  <c r="T102" i="3"/>
  <c r="T74" i="3"/>
  <c r="T98" i="3"/>
  <c r="T19" i="3"/>
  <c r="T23" i="3"/>
  <c r="T96" i="3"/>
  <c r="T105" i="3"/>
  <c r="T109" i="3"/>
  <c r="T110" i="3"/>
  <c r="T67" i="3"/>
  <c r="T50" i="3"/>
  <c r="T66" i="3"/>
  <c r="T88" i="3"/>
  <c r="T114" i="3"/>
  <c r="T142" i="3"/>
  <c r="T27" i="3"/>
  <c r="T39" i="3"/>
  <c r="T70" i="3"/>
  <c r="T146" i="3"/>
  <c r="T143" i="3"/>
  <c r="T7" i="3"/>
  <c r="T34" i="3"/>
  <c r="T58" i="3"/>
  <c r="T100" i="3"/>
  <c r="T33" i="3"/>
  <c r="T80" i="3"/>
  <c r="T155" i="3"/>
  <c r="T38" i="3"/>
  <c r="T63" i="3"/>
  <c r="T131" i="3"/>
  <c r="T5" i="3"/>
  <c r="T26" i="3"/>
  <c r="T55" i="3"/>
  <c r="T162" i="3"/>
  <c r="T68" i="3"/>
  <c r="T85" i="3"/>
  <c r="T133" i="3"/>
  <c r="T8" i="3"/>
  <c r="T18" i="3"/>
  <c r="T25" i="3"/>
  <c r="T30" i="3"/>
  <c r="T86" i="3"/>
  <c r="T156" i="3"/>
  <c r="T169" i="3"/>
  <c r="T134" i="3"/>
  <c r="T21" i="3"/>
  <c r="T35" i="3"/>
  <c r="T49" i="3"/>
  <c r="T54" i="3"/>
  <c r="T92" i="3"/>
  <c r="T17" i="3"/>
  <c r="T61" i="3"/>
  <c r="T65" i="3"/>
  <c r="T69" i="3"/>
  <c r="T76" i="3"/>
  <c r="T77" i="3"/>
  <c r="T138" i="3"/>
  <c r="T4" i="3"/>
  <c r="T28" i="3"/>
  <c r="T32" i="3"/>
  <c r="T36" i="3"/>
  <c r="T40" i="3"/>
  <c r="T44" i="3"/>
  <c r="T78" i="3"/>
  <c r="T94" i="3"/>
  <c r="T129" i="3"/>
  <c r="T160" i="3"/>
  <c r="T11" i="3"/>
  <c r="T90" i="3"/>
  <c r="T139" i="3"/>
  <c r="T122" i="3"/>
  <c r="T95" i="3"/>
  <c r="T115" i="3"/>
  <c r="T127" i="3"/>
  <c r="T149" i="3"/>
  <c r="T83" i="3"/>
  <c r="T87" i="3"/>
  <c r="T106" i="3"/>
  <c r="T125" i="3"/>
  <c r="T164" i="3"/>
  <c r="T165" i="3"/>
  <c r="T89" i="3"/>
  <c r="T93" i="3"/>
  <c r="T97" i="3"/>
  <c r="T101" i="3"/>
  <c r="T121" i="3"/>
  <c r="T168" i="3"/>
  <c r="T130" i="3"/>
  <c r="T145" i="3"/>
  <c r="T167" i="3"/>
  <c r="T128" i="3"/>
  <c r="T132" i="3"/>
  <c r="T136" i="3"/>
  <c r="T140" i="3"/>
  <c r="T144" i="3"/>
  <c r="T158" i="3"/>
  <c r="T108" i="3"/>
  <c r="T112" i="3"/>
  <c r="T116" i="3"/>
  <c r="T120" i="3"/>
  <c r="T124" i="3"/>
  <c r="T163" i="3"/>
  <c r="T150" i="3"/>
  <c r="T154" i="3"/>
  <c r="T161" i="3"/>
  <c r="BJ79" i="3"/>
  <c r="BJ135" i="3"/>
  <c r="BJ18" i="3"/>
  <c r="BJ98" i="3"/>
  <c r="BJ8" i="3"/>
  <c r="BJ76" i="3"/>
  <c r="BJ127" i="3"/>
  <c r="BJ89" i="3"/>
  <c r="BJ26" i="3"/>
  <c r="BJ38" i="3"/>
  <c r="BJ100" i="3"/>
  <c r="BJ97" i="3"/>
  <c r="BJ102" i="3"/>
  <c r="BJ131" i="3"/>
  <c r="BJ87" i="3"/>
  <c r="BJ54" i="3"/>
  <c r="BJ43" i="3"/>
  <c r="BJ116" i="3"/>
  <c r="BJ92" i="3"/>
  <c r="BJ63" i="3"/>
  <c r="BJ88" i="3"/>
  <c r="BJ6" i="3"/>
  <c r="BJ118" i="3"/>
  <c r="BJ133" i="3"/>
  <c r="BJ12" i="3"/>
  <c r="BJ107" i="3"/>
  <c r="BJ111" i="3"/>
  <c r="BJ31" i="3"/>
  <c r="BJ21" i="3"/>
  <c r="BJ90" i="3"/>
  <c r="BJ91" i="3"/>
  <c r="BJ130" i="3"/>
  <c r="BJ20" i="3"/>
  <c r="BJ36" i="3"/>
  <c r="BJ46" i="3"/>
  <c r="BJ41" i="3"/>
  <c r="BJ72" i="3"/>
  <c r="BJ47" i="3"/>
  <c r="BJ74" i="3"/>
  <c r="BJ37" i="3"/>
  <c r="BJ42" i="3"/>
  <c r="BJ77" i="3"/>
  <c r="BJ84" i="3"/>
  <c r="BJ151" i="3"/>
  <c r="BJ68" i="3"/>
  <c r="BJ70" i="3"/>
  <c r="BJ99" i="3"/>
  <c r="BJ103" i="3"/>
  <c r="BJ57" i="3"/>
  <c r="BJ142" i="3"/>
  <c r="BJ7" i="3"/>
  <c r="BJ16" i="3"/>
  <c r="BJ35" i="3"/>
  <c r="BJ108" i="3"/>
  <c r="BJ109" i="3"/>
  <c r="BJ139" i="3"/>
  <c r="BJ147" i="3"/>
  <c r="BJ119" i="3"/>
  <c r="BJ15" i="3"/>
  <c r="BJ55" i="3"/>
  <c r="BJ67" i="3"/>
  <c r="BJ83" i="3"/>
  <c r="BJ137" i="3"/>
  <c r="BJ156" i="3"/>
  <c r="BJ71" i="3"/>
  <c r="BJ11" i="3"/>
  <c r="BJ33" i="3"/>
  <c r="BJ106" i="3"/>
  <c r="BJ28" i="3"/>
  <c r="BJ62" i="3"/>
  <c r="BJ50" i="3"/>
  <c r="BJ66" i="3"/>
  <c r="BJ75" i="3"/>
  <c r="BJ96" i="3"/>
  <c r="BJ30" i="3"/>
  <c r="BJ64" i="3"/>
  <c r="BJ86" i="3"/>
  <c r="BJ149" i="3"/>
  <c r="BJ5" i="3"/>
  <c r="BJ51" i="3"/>
  <c r="BJ40" i="3"/>
  <c r="BJ94" i="3"/>
  <c r="BJ9" i="3"/>
  <c r="BJ25" i="3"/>
  <c r="BJ27" i="3"/>
  <c r="BJ32" i="3"/>
  <c r="BJ49" i="3"/>
  <c r="BJ13" i="3"/>
  <c r="BJ19" i="3"/>
  <c r="BJ22" i="3"/>
  <c r="BJ117" i="3"/>
  <c r="BJ143" i="3"/>
  <c r="BJ155" i="3"/>
  <c r="BJ4" i="3"/>
  <c r="BJ14" i="3"/>
  <c r="BJ29" i="3"/>
  <c r="BJ34" i="3"/>
  <c r="BJ44" i="3"/>
  <c r="BJ73" i="3"/>
  <c r="BJ80" i="3"/>
  <c r="BJ85" i="3"/>
  <c r="BJ101" i="3"/>
  <c r="BJ122" i="3"/>
  <c r="BJ141" i="3"/>
  <c r="BJ115" i="3"/>
  <c r="BJ167" i="3"/>
  <c r="BJ39" i="3"/>
  <c r="BJ53" i="3"/>
  <c r="BJ58" i="3"/>
  <c r="BJ162" i="3"/>
  <c r="BJ23" i="3"/>
  <c r="BJ93" i="3"/>
  <c r="BJ112" i="3"/>
  <c r="BJ124" i="3"/>
  <c r="BJ158" i="3"/>
  <c r="BJ163" i="3"/>
  <c r="BJ168" i="3"/>
  <c r="BJ10" i="3"/>
  <c r="BJ48" i="3"/>
  <c r="BJ52" i="3"/>
  <c r="BJ56" i="3"/>
  <c r="BJ146" i="3"/>
  <c r="BJ17" i="3"/>
  <c r="BJ61" i="3"/>
  <c r="BJ65" i="3"/>
  <c r="BJ69" i="3"/>
  <c r="BJ81" i="3"/>
  <c r="BJ113" i="3"/>
  <c r="BJ160" i="3"/>
  <c r="BJ121" i="3"/>
  <c r="BJ145" i="3"/>
  <c r="BJ78" i="3"/>
  <c r="BJ95" i="3"/>
  <c r="BJ114" i="3"/>
  <c r="BJ123" i="3"/>
  <c r="BJ138" i="3"/>
  <c r="BJ159" i="3"/>
  <c r="BJ105" i="3"/>
  <c r="BJ110" i="3"/>
  <c r="BJ120" i="3"/>
  <c r="BJ125" i="3"/>
  <c r="BJ164" i="3"/>
  <c r="BJ152" i="3"/>
  <c r="BJ129" i="3"/>
  <c r="BJ134" i="3"/>
  <c r="BJ166" i="3"/>
  <c r="BJ153" i="3"/>
  <c r="BJ128" i="3"/>
  <c r="BJ132" i="3"/>
  <c r="BJ136" i="3"/>
  <c r="BJ140" i="3"/>
  <c r="BJ144" i="3"/>
  <c r="BJ150" i="3"/>
  <c r="BJ154" i="3"/>
  <c r="BJ157" i="3"/>
  <c r="BJ161" i="3"/>
  <c r="BJ165" i="3"/>
  <c r="BJ169" i="3"/>
  <c r="V47" i="3"/>
  <c r="V32" i="3"/>
  <c r="V22" i="3"/>
  <c r="V152" i="3"/>
  <c r="V162" i="3"/>
  <c r="V64" i="3"/>
  <c r="V73" i="3"/>
  <c r="V167" i="3"/>
  <c r="V21" i="3"/>
  <c r="V88" i="3"/>
  <c r="V111" i="3"/>
  <c r="V151" i="3"/>
  <c r="V14" i="3"/>
  <c r="V155" i="3"/>
  <c r="V26" i="3"/>
  <c r="V85" i="3"/>
  <c r="V100" i="3"/>
  <c r="V12" i="3"/>
  <c r="V89" i="3"/>
  <c r="V90" i="3"/>
  <c r="V4" i="3"/>
  <c r="V53" i="3"/>
  <c r="V35" i="3"/>
  <c r="V54" i="3"/>
  <c r="V39" i="3"/>
  <c r="V79" i="3"/>
  <c r="V36" i="3"/>
  <c r="V97" i="3"/>
  <c r="V101" i="3"/>
  <c r="V103" i="3"/>
  <c r="V108" i="3"/>
  <c r="V142" i="3"/>
  <c r="V37" i="3"/>
  <c r="V43" i="3"/>
  <c r="V46" i="3"/>
  <c r="V58" i="3"/>
  <c r="V91" i="3"/>
  <c r="V93" i="3"/>
  <c r="V119" i="3"/>
  <c r="V20" i="3"/>
  <c r="V27" i="3"/>
  <c r="V42" i="3"/>
  <c r="V70" i="3"/>
  <c r="V112" i="3"/>
  <c r="V29" i="3"/>
  <c r="V137" i="3"/>
  <c r="V160" i="3"/>
  <c r="V13" i="3"/>
  <c r="V72" i="3"/>
  <c r="V9" i="3"/>
  <c r="V68" i="3"/>
  <c r="V80" i="3"/>
  <c r="V134" i="3"/>
  <c r="V28" i="3"/>
  <c r="V51" i="3"/>
  <c r="V62" i="3"/>
  <c r="V74" i="3"/>
  <c r="V113" i="3"/>
  <c r="V118" i="3"/>
  <c r="V135" i="3"/>
  <c r="V16" i="3"/>
  <c r="V44" i="3"/>
  <c r="V67" i="3"/>
  <c r="V92" i="3"/>
  <c r="V98" i="3"/>
  <c r="V19" i="3"/>
  <c r="V49" i="3"/>
  <c r="V96" i="3"/>
  <c r="V105" i="3"/>
  <c r="V110" i="3"/>
  <c r="V145" i="3"/>
  <c r="V6" i="3"/>
  <c r="V41" i="3"/>
  <c r="V81" i="3"/>
  <c r="V124" i="3"/>
  <c r="V143" i="3"/>
  <c r="V7" i="3"/>
  <c r="V34" i="3"/>
  <c r="V133" i="3"/>
  <c r="V11" i="3"/>
  <c r="V33" i="3"/>
  <c r="V57" i="3"/>
  <c r="V123" i="3"/>
  <c r="V84" i="3"/>
  <c r="V38" i="3"/>
  <c r="V63" i="3"/>
  <c r="V83" i="3"/>
  <c r="V5" i="3"/>
  <c r="V15" i="3"/>
  <c r="V31" i="3"/>
  <c r="V50" i="3"/>
  <c r="V55" i="3"/>
  <c r="V102" i="3"/>
  <c r="V164" i="3"/>
  <c r="V66" i="3"/>
  <c r="V71" i="3"/>
  <c r="V95" i="3"/>
  <c r="V99" i="3"/>
  <c r="V109" i="3"/>
  <c r="V159" i="3"/>
  <c r="V8" i="3"/>
  <c r="V18" i="3"/>
  <c r="V25" i="3"/>
  <c r="V30" i="3"/>
  <c r="V40" i="3"/>
  <c r="V86" i="3"/>
  <c r="V125" i="3"/>
  <c r="V129" i="3"/>
  <c r="V23" i="3"/>
  <c r="V75" i="3"/>
  <c r="V127" i="3"/>
  <c r="V10" i="3"/>
  <c r="V48" i="3"/>
  <c r="V52" i="3"/>
  <c r="V56" i="3"/>
  <c r="V114" i="3"/>
  <c r="V130" i="3"/>
  <c r="V147" i="3"/>
  <c r="V158" i="3"/>
  <c r="V163" i="3"/>
  <c r="V17" i="3"/>
  <c r="V61" i="3"/>
  <c r="V65" i="3"/>
  <c r="V69" i="3"/>
  <c r="V76" i="3"/>
  <c r="V77" i="3"/>
  <c r="V87" i="3"/>
  <c r="V115" i="3"/>
  <c r="V138" i="3"/>
  <c r="V117" i="3"/>
  <c r="V78" i="3"/>
  <c r="V94" i="3"/>
  <c r="V139" i="3"/>
  <c r="V120" i="3"/>
  <c r="V122" i="3"/>
  <c r="V106" i="3"/>
  <c r="V141" i="3"/>
  <c r="V146" i="3"/>
  <c r="V107" i="3"/>
  <c r="V131" i="3"/>
  <c r="V153" i="3"/>
  <c r="V116" i="3"/>
  <c r="V121" i="3"/>
  <c r="V168" i="3"/>
  <c r="V149" i="3"/>
  <c r="V128" i="3"/>
  <c r="V132" i="3"/>
  <c r="V136" i="3"/>
  <c r="V140" i="3"/>
  <c r="V144" i="3"/>
  <c r="V156" i="3"/>
  <c r="V166" i="3"/>
  <c r="V150" i="3"/>
  <c r="V154" i="3"/>
  <c r="V157" i="3"/>
  <c r="V161" i="3"/>
  <c r="V165" i="3"/>
  <c r="V169" i="3"/>
  <c r="BA90" i="3"/>
  <c r="BA35" i="3"/>
  <c r="BA11" i="3"/>
  <c r="BA5" i="3"/>
  <c r="BA69" i="3"/>
  <c r="BA63" i="3"/>
  <c r="BA93" i="3"/>
  <c r="BA86" i="3"/>
  <c r="BA19" i="3"/>
  <c r="BA36" i="3"/>
  <c r="BA97" i="3"/>
  <c r="BA72" i="3"/>
  <c r="BA96" i="3"/>
  <c r="BA131" i="3"/>
  <c r="BA30" i="3"/>
  <c r="BA56" i="3"/>
  <c r="BA9" i="3"/>
  <c r="BA135" i="3"/>
  <c r="BA94" i="3"/>
  <c r="BA95" i="3"/>
  <c r="BA7" i="3"/>
  <c r="BA28" i="3"/>
  <c r="BA33" i="3"/>
  <c r="BA42" i="3"/>
  <c r="BA61" i="3"/>
  <c r="BA25" i="3"/>
  <c r="BA48" i="3"/>
  <c r="BA15" i="3"/>
  <c r="BA31" i="3"/>
  <c r="BA17" i="3"/>
  <c r="BA132" i="3"/>
  <c r="BA74" i="3"/>
  <c r="BA166" i="3"/>
  <c r="BA137" i="3"/>
  <c r="BA8" i="3"/>
  <c r="BA29" i="3"/>
  <c r="BA68" i="3"/>
  <c r="BA75" i="3"/>
  <c r="BA92" i="3"/>
  <c r="BA43" i="3"/>
  <c r="BA12" i="3"/>
  <c r="BA62" i="3"/>
  <c r="BA64" i="3"/>
  <c r="BA47" i="3"/>
  <c r="BA78" i="3"/>
  <c r="BA106" i="3"/>
  <c r="BA162" i="3"/>
  <c r="BA21" i="3"/>
  <c r="BA152" i="3"/>
  <c r="BA111" i="3"/>
  <c r="BA4" i="3"/>
  <c r="BA53" i="3"/>
  <c r="BA145" i="3"/>
  <c r="BA18" i="3"/>
  <c r="BA87" i="3"/>
  <c r="BA143" i="3"/>
  <c r="BA22" i="3"/>
  <c r="BA39" i="3"/>
  <c r="BA44" i="3"/>
  <c r="BA77" i="3"/>
  <c r="BA154" i="3"/>
  <c r="BA85" i="3"/>
  <c r="BA49" i="3"/>
  <c r="BA101" i="3"/>
  <c r="BA120" i="3"/>
  <c r="BA66" i="3"/>
  <c r="BA38" i="3"/>
  <c r="BA73" i="3"/>
  <c r="BA41" i="3"/>
  <c r="BA136" i="3"/>
  <c r="BA169" i="3"/>
  <c r="BA146" i="3"/>
  <c r="BA34" i="3"/>
  <c r="BA79" i="3"/>
  <c r="BA144" i="3"/>
  <c r="BA10" i="3"/>
  <c r="BA107" i="3"/>
  <c r="BA140" i="3"/>
  <c r="BA160" i="3"/>
  <c r="BA14" i="3"/>
  <c r="BA40" i="3"/>
  <c r="BA65" i="3"/>
  <c r="BA83" i="3"/>
  <c r="BA161" i="3"/>
  <c r="BA26" i="3"/>
  <c r="BA55" i="3"/>
  <c r="BA70" i="3"/>
  <c r="BA76" i="3"/>
  <c r="BA103" i="3"/>
  <c r="BA156" i="3"/>
  <c r="BA23" i="3"/>
  <c r="BA52" i="3"/>
  <c r="BA57" i="3"/>
  <c r="BA88" i="3"/>
  <c r="BA102" i="3"/>
  <c r="BA153" i="3"/>
  <c r="BA27" i="3"/>
  <c r="BA51" i="3"/>
  <c r="BA81" i="3"/>
  <c r="BA98" i="3"/>
  <c r="BA165" i="3"/>
  <c r="BA16" i="3"/>
  <c r="BA32" i="3"/>
  <c r="BA37" i="3"/>
  <c r="BA67" i="3"/>
  <c r="BA118" i="3"/>
  <c r="BA157" i="3"/>
  <c r="BA6" i="3"/>
  <c r="BA91" i="3"/>
  <c r="BA114" i="3"/>
  <c r="BA130" i="3"/>
  <c r="BA139" i="3"/>
  <c r="BA13" i="3"/>
  <c r="BA115" i="3"/>
  <c r="BA138" i="3"/>
  <c r="BA20" i="3"/>
  <c r="BA46" i="3"/>
  <c r="BA50" i="3"/>
  <c r="BA54" i="3"/>
  <c r="BA58" i="3"/>
  <c r="BA71" i="3"/>
  <c r="BA100" i="3"/>
  <c r="BA116" i="3"/>
  <c r="BA84" i="3"/>
  <c r="BA99" i="3"/>
  <c r="BA110" i="3"/>
  <c r="BA112" i="3"/>
  <c r="BA119" i="3"/>
  <c r="BA134" i="3"/>
  <c r="BA141" i="3"/>
  <c r="BA164" i="3"/>
  <c r="BA89" i="3"/>
  <c r="BA122" i="3"/>
  <c r="BA129" i="3"/>
  <c r="BA149" i="3"/>
  <c r="BA80" i="3"/>
  <c r="BA124" i="3"/>
  <c r="BA128" i="3"/>
  <c r="BA133" i="3"/>
  <c r="BA150" i="3"/>
  <c r="BA142" i="3"/>
  <c r="BA168" i="3"/>
  <c r="BA108" i="3"/>
  <c r="BA123" i="3"/>
  <c r="BA127" i="3"/>
  <c r="BA147" i="3"/>
  <c r="BA105" i="3"/>
  <c r="BA109" i="3"/>
  <c r="BA113" i="3"/>
  <c r="BA117" i="3"/>
  <c r="BA121" i="3"/>
  <c r="BA125" i="3"/>
  <c r="BA151" i="3"/>
  <c r="BA158" i="3"/>
  <c r="BA155" i="3"/>
  <c r="BA159" i="3"/>
  <c r="BA163" i="3"/>
  <c r="BA167" i="3"/>
  <c r="O28" i="3"/>
  <c r="O167" i="3"/>
  <c r="O112" i="3"/>
  <c r="O156" i="3"/>
  <c r="O42" i="3"/>
  <c r="O166" i="3"/>
  <c r="O7" i="3"/>
  <c r="O52" i="3"/>
  <c r="O48" i="3"/>
  <c r="O106" i="3"/>
  <c r="O67" i="3"/>
  <c r="O107" i="3"/>
  <c r="O162" i="3"/>
  <c r="O110" i="3"/>
  <c r="O34" i="3"/>
  <c r="O17" i="3"/>
  <c r="O116" i="3"/>
  <c r="O32" i="3"/>
  <c r="O20" i="3"/>
  <c r="O36" i="3"/>
  <c r="O143" i="3"/>
  <c r="O13" i="3"/>
  <c r="O92" i="3"/>
  <c r="O55" i="3"/>
  <c r="O30" i="3"/>
  <c r="O63" i="3"/>
  <c r="O50" i="3"/>
  <c r="O27" i="3"/>
  <c r="O51" i="3"/>
  <c r="O95" i="3"/>
  <c r="O76" i="3"/>
  <c r="O78" i="3"/>
  <c r="O127" i="3"/>
  <c r="O144" i="3"/>
  <c r="O5" i="3"/>
  <c r="O111" i="3"/>
  <c r="O123" i="3"/>
  <c r="O16" i="3"/>
  <c r="O35" i="3"/>
  <c r="O64" i="3"/>
  <c r="O91" i="3"/>
  <c r="O160" i="3"/>
  <c r="O83" i="3"/>
  <c r="O124" i="3"/>
  <c r="O4" i="3"/>
  <c r="O23" i="3"/>
  <c r="O47" i="3"/>
  <c r="O128" i="3"/>
  <c r="O26" i="3"/>
  <c r="O40" i="3"/>
  <c r="O22" i="3"/>
  <c r="O146" i="3"/>
  <c r="O75" i="3"/>
  <c r="O10" i="3"/>
  <c r="O14" i="3"/>
  <c r="O54" i="3"/>
  <c r="O9" i="3"/>
  <c r="O38" i="3"/>
  <c r="O80" i="3"/>
  <c r="O85" i="3"/>
  <c r="O161" i="3"/>
  <c r="O56" i="3"/>
  <c r="O68" i="3"/>
  <c r="O69" i="3"/>
  <c r="O89" i="3"/>
  <c r="O155" i="3"/>
  <c r="O43" i="3"/>
  <c r="O57" i="3"/>
  <c r="O105" i="3"/>
  <c r="O152" i="3"/>
  <c r="O8" i="3"/>
  <c r="O72" i="3"/>
  <c r="O15" i="3"/>
  <c r="O21" i="3"/>
  <c r="O31" i="3"/>
  <c r="O71" i="3"/>
  <c r="O100" i="3"/>
  <c r="O136" i="3"/>
  <c r="O154" i="3"/>
  <c r="O53" i="3"/>
  <c r="O61" i="3"/>
  <c r="O77" i="3"/>
  <c r="O101" i="3"/>
  <c r="O122" i="3"/>
  <c r="O163" i="3"/>
  <c r="O18" i="3"/>
  <c r="O46" i="3"/>
  <c r="O74" i="3"/>
  <c r="O87" i="3"/>
  <c r="O99" i="3"/>
  <c r="O138" i="3"/>
  <c r="O150" i="3"/>
  <c r="O11" i="3"/>
  <c r="O49" i="3"/>
  <c r="O114" i="3"/>
  <c r="O147" i="3"/>
  <c r="O39" i="3"/>
  <c r="O58" i="3"/>
  <c r="O65" i="3"/>
  <c r="O73" i="3"/>
  <c r="O79" i="3"/>
  <c r="O119" i="3"/>
  <c r="O44" i="3"/>
  <c r="O96" i="3"/>
  <c r="O103" i="3"/>
  <c r="O12" i="3"/>
  <c r="O62" i="3"/>
  <c r="O66" i="3"/>
  <c r="O70" i="3"/>
  <c r="O130" i="3"/>
  <c r="O158" i="3"/>
  <c r="O168" i="3"/>
  <c r="O19" i="3"/>
  <c r="O25" i="3"/>
  <c r="O29" i="3"/>
  <c r="O33" i="3"/>
  <c r="O37" i="3"/>
  <c r="O41" i="3"/>
  <c r="O81" i="3"/>
  <c r="O131" i="3"/>
  <c r="O6" i="3"/>
  <c r="O86" i="3"/>
  <c r="O93" i="3"/>
  <c r="O108" i="3"/>
  <c r="O132" i="3"/>
  <c r="O97" i="3"/>
  <c r="O118" i="3"/>
  <c r="O142" i="3"/>
  <c r="O84" i="3"/>
  <c r="O88" i="3"/>
  <c r="O135" i="3"/>
  <c r="O90" i="3"/>
  <c r="O94" i="3"/>
  <c r="O98" i="3"/>
  <c r="O102" i="3"/>
  <c r="O140" i="3"/>
  <c r="O149" i="3"/>
  <c r="O134" i="3"/>
  <c r="O169" i="3"/>
  <c r="O115" i="3"/>
  <c r="O120" i="3"/>
  <c r="O139" i="3"/>
  <c r="O157" i="3"/>
  <c r="O129" i="3"/>
  <c r="O133" i="3"/>
  <c r="O137" i="3"/>
  <c r="O141" i="3"/>
  <c r="O145" i="3"/>
  <c r="O153" i="3"/>
  <c r="O109" i="3"/>
  <c r="O113" i="3"/>
  <c r="O117" i="3"/>
  <c r="O121" i="3"/>
  <c r="O125" i="3"/>
  <c r="O151" i="3"/>
  <c r="O165" i="3"/>
  <c r="O159" i="3"/>
  <c r="O164" i="3"/>
  <c r="AU152" i="3"/>
  <c r="AU5" i="3"/>
  <c r="AU10" i="3"/>
  <c r="AU13" i="3"/>
  <c r="AU54" i="3"/>
  <c r="AU20" i="3"/>
  <c r="AU62" i="3"/>
  <c r="AU87" i="3"/>
  <c r="AU31" i="3"/>
  <c r="AU4" i="3"/>
  <c r="AU72" i="3"/>
  <c r="AU79" i="3"/>
  <c r="AU11" i="3"/>
  <c r="AU46" i="3"/>
  <c r="AU151" i="3"/>
  <c r="AU40" i="3"/>
  <c r="AU27" i="3"/>
  <c r="AU95" i="3"/>
  <c r="AU88" i="3"/>
  <c r="AU137" i="3"/>
  <c r="AU29" i="3"/>
  <c r="AU52" i="3"/>
  <c r="AU76" i="3"/>
  <c r="AU32" i="3"/>
  <c r="AU23" i="3"/>
  <c r="AU124" i="3"/>
  <c r="AU16" i="3"/>
  <c r="AU105" i="3"/>
  <c r="AU75" i="3"/>
  <c r="AU98" i="3"/>
  <c r="AU125" i="3"/>
  <c r="AU110" i="3"/>
  <c r="AU129" i="3"/>
  <c r="AU123" i="3"/>
  <c r="AU25" i="3"/>
  <c r="AU39" i="3"/>
  <c r="AU118" i="3"/>
  <c r="AU14" i="3"/>
  <c r="AU109" i="3"/>
  <c r="AU6" i="3"/>
  <c r="AU28" i="3"/>
  <c r="AU34" i="3"/>
  <c r="AU37" i="3"/>
  <c r="AU49" i="3"/>
  <c r="AU162" i="3"/>
  <c r="AU17" i="3"/>
  <c r="AU19" i="3"/>
  <c r="AU30" i="3"/>
  <c r="AU9" i="3"/>
  <c r="AU21" i="3"/>
  <c r="AU53" i="3"/>
  <c r="AU65" i="3"/>
  <c r="AU91" i="3"/>
  <c r="AU155" i="3"/>
  <c r="AU58" i="3"/>
  <c r="AU80" i="3"/>
  <c r="AU138" i="3"/>
  <c r="AU140" i="3"/>
  <c r="AU7" i="3"/>
  <c r="AU33" i="3"/>
  <c r="AU56" i="3"/>
  <c r="AU69" i="3"/>
  <c r="AU142" i="3"/>
  <c r="AU134" i="3"/>
  <c r="AU35" i="3"/>
  <c r="AU42" i="3"/>
  <c r="AU44" i="3"/>
  <c r="AU57" i="3"/>
  <c r="AU67" i="3"/>
  <c r="AU108" i="3"/>
  <c r="AU115" i="3"/>
  <c r="AU70" i="3"/>
  <c r="AU73" i="3"/>
  <c r="AU84" i="3"/>
  <c r="AU85" i="3"/>
  <c r="AU90" i="3"/>
  <c r="AU116" i="3"/>
  <c r="AU119" i="3"/>
  <c r="AU121" i="3"/>
  <c r="AU38" i="3"/>
  <c r="AU61" i="3"/>
  <c r="AU63" i="3"/>
  <c r="AU86" i="3"/>
  <c r="AU99" i="3"/>
  <c r="AU100" i="3"/>
  <c r="AU103" i="3"/>
  <c r="AU165" i="3"/>
  <c r="AU18" i="3"/>
  <c r="AU43" i="3"/>
  <c r="AU48" i="3"/>
  <c r="AU66" i="3"/>
  <c r="AU93" i="3"/>
  <c r="AU96" i="3"/>
  <c r="AU101" i="3"/>
  <c r="AU12" i="3"/>
  <c r="AU26" i="3"/>
  <c r="AU36" i="3"/>
  <c r="AU41" i="3"/>
  <c r="AU114" i="3"/>
  <c r="AU133" i="3"/>
  <c r="AU89" i="3"/>
  <c r="AU128" i="3"/>
  <c r="AU166" i="3"/>
  <c r="AU50" i="3"/>
  <c r="AU71" i="3"/>
  <c r="AU111" i="3"/>
  <c r="AU113" i="3"/>
  <c r="AU132" i="3"/>
  <c r="AU145" i="3"/>
  <c r="AU8" i="3"/>
  <c r="AU83" i="3"/>
  <c r="AU97" i="3"/>
  <c r="AU15" i="3"/>
  <c r="AU47" i="3"/>
  <c r="AU51" i="3"/>
  <c r="AU55" i="3"/>
  <c r="AU94" i="3"/>
  <c r="AU22" i="3"/>
  <c r="AU64" i="3"/>
  <c r="AU68" i="3"/>
  <c r="AU74" i="3"/>
  <c r="AU78" i="3"/>
  <c r="AU154" i="3"/>
  <c r="AU102" i="3"/>
  <c r="AU163" i="3"/>
  <c r="AU77" i="3"/>
  <c r="AU81" i="3"/>
  <c r="AU92" i="3"/>
  <c r="AU106" i="3"/>
  <c r="AU120" i="3"/>
  <c r="AU144" i="3"/>
  <c r="AU130" i="3"/>
  <c r="AU107" i="3"/>
  <c r="AU112" i="3"/>
  <c r="AU117" i="3"/>
  <c r="AU122" i="3"/>
  <c r="AU167" i="3"/>
  <c r="AU159" i="3"/>
  <c r="AU161" i="3"/>
  <c r="AU169" i="3"/>
  <c r="AU136" i="3"/>
  <c r="AU141" i="3"/>
  <c r="AU146" i="3"/>
  <c r="AU157" i="3"/>
  <c r="AU150" i="3"/>
  <c r="AU127" i="3"/>
  <c r="AU131" i="3"/>
  <c r="AU135" i="3"/>
  <c r="AU139" i="3"/>
  <c r="AU143" i="3"/>
  <c r="AU147" i="3"/>
  <c r="AU158" i="3"/>
  <c r="AU149" i="3"/>
  <c r="AU153" i="3"/>
  <c r="AU156" i="3"/>
  <c r="AU160" i="3"/>
  <c r="AU164" i="3"/>
  <c r="AU168" i="3"/>
  <c r="BF71" i="3"/>
  <c r="BF135" i="3"/>
  <c r="BF29" i="3"/>
  <c r="BF168" i="3"/>
  <c r="BF68" i="3"/>
  <c r="BF46" i="3"/>
  <c r="BF61" i="3"/>
  <c r="BF102" i="3"/>
  <c r="BF130" i="3"/>
  <c r="BF63" i="3"/>
  <c r="BF90" i="3"/>
  <c r="BF93" i="3"/>
  <c r="BF81" i="3"/>
  <c r="BF77" i="3"/>
  <c r="BF86" i="3"/>
  <c r="BF121" i="3"/>
  <c r="BF50" i="3"/>
  <c r="BF22" i="3"/>
  <c r="BF28" i="3"/>
  <c r="BF161" i="3"/>
  <c r="BF58" i="3"/>
  <c r="BF21" i="3"/>
  <c r="BF150" i="3"/>
  <c r="BF145" i="3"/>
  <c r="BF51" i="3"/>
  <c r="BF7" i="3"/>
  <c r="BF8" i="3"/>
  <c r="BF34" i="3"/>
  <c r="BF37" i="3"/>
  <c r="BF105" i="3"/>
  <c r="BF91" i="3"/>
  <c r="BF30" i="3"/>
  <c r="BF151" i="3"/>
  <c r="BF36" i="3"/>
  <c r="BF163" i="3"/>
  <c r="BF15" i="3"/>
  <c r="BF25" i="3"/>
  <c r="BF52" i="3"/>
  <c r="BF35" i="3"/>
  <c r="BF95" i="3"/>
  <c r="BF110" i="3"/>
  <c r="BF73" i="3"/>
  <c r="BF12" i="3"/>
  <c r="BF62" i="3"/>
  <c r="BF113" i="3"/>
  <c r="BF9" i="3"/>
  <c r="BF14" i="3"/>
  <c r="BF23" i="3"/>
  <c r="BF100" i="3"/>
  <c r="BF118" i="3"/>
  <c r="BF4" i="3"/>
  <c r="BF19" i="3"/>
  <c r="BF74" i="3"/>
  <c r="BF111" i="3"/>
  <c r="BF26" i="3"/>
  <c r="BF66" i="3"/>
  <c r="BF137" i="3"/>
  <c r="BF27" i="3"/>
  <c r="BF70" i="3"/>
  <c r="BF99" i="3"/>
  <c r="BF103" i="3"/>
  <c r="BF132" i="3"/>
  <c r="BF157" i="3"/>
  <c r="BF39" i="3"/>
  <c r="BF117" i="3"/>
  <c r="BF40" i="3"/>
  <c r="BF55" i="3"/>
  <c r="BF65" i="3"/>
  <c r="BF146" i="3"/>
  <c r="BF128" i="3"/>
  <c r="BF149" i="3"/>
  <c r="BF6" i="3"/>
  <c r="BF31" i="3"/>
  <c r="BF41" i="3"/>
  <c r="BF54" i="3"/>
  <c r="BF131" i="3"/>
  <c r="BF139" i="3"/>
  <c r="BF142" i="3"/>
  <c r="BF153" i="3"/>
  <c r="BF16" i="3"/>
  <c r="BF32" i="3"/>
  <c r="BF56" i="3"/>
  <c r="BF67" i="3"/>
  <c r="BF75" i="3"/>
  <c r="BF122" i="3"/>
  <c r="BF164" i="3"/>
  <c r="BF42" i="3"/>
  <c r="BF44" i="3"/>
  <c r="BF155" i="3"/>
  <c r="BF10" i="3"/>
  <c r="BF84" i="3"/>
  <c r="BF107" i="3"/>
  <c r="BF140" i="3"/>
  <c r="BF20" i="3"/>
  <c r="BF33" i="3"/>
  <c r="BF38" i="3"/>
  <c r="BF64" i="3"/>
  <c r="BF115" i="3"/>
  <c r="BF129" i="3"/>
  <c r="BF136" i="3"/>
  <c r="BF160" i="3"/>
  <c r="BF17" i="3"/>
  <c r="BF48" i="3"/>
  <c r="BF76" i="3"/>
  <c r="BF94" i="3"/>
  <c r="BF134" i="3"/>
  <c r="BF13" i="3"/>
  <c r="BF43" i="3"/>
  <c r="BF47" i="3"/>
  <c r="BF69" i="3"/>
  <c r="BF72" i="3"/>
  <c r="BF78" i="3"/>
  <c r="BF88" i="3"/>
  <c r="BF11" i="3"/>
  <c r="BF85" i="3"/>
  <c r="BF89" i="3"/>
  <c r="BF98" i="3"/>
  <c r="BF101" i="3"/>
  <c r="BF123" i="3"/>
  <c r="BF125" i="3"/>
  <c r="BF18" i="3"/>
  <c r="BF92" i="3"/>
  <c r="BF127" i="3"/>
  <c r="BF5" i="3"/>
  <c r="BF49" i="3"/>
  <c r="BF53" i="3"/>
  <c r="BF57" i="3"/>
  <c r="BF80" i="3"/>
  <c r="BF106" i="3"/>
  <c r="BF147" i="3"/>
  <c r="BF83" i="3"/>
  <c r="BF87" i="3"/>
  <c r="BF96" i="3"/>
  <c r="BF143" i="3"/>
  <c r="BF154" i="3"/>
  <c r="BF159" i="3"/>
  <c r="BF79" i="3"/>
  <c r="BF97" i="3"/>
  <c r="BF119" i="3"/>
  <c r="BF141" i="3"/>
  <c r="BF109" i="3"/>
  <c r="BF114" i="3"/>
  <c r="BF156" i="3"/>
  <c r="BF165" i="3"/>
  <c r="BF144" i="3"/>
  <c r="BF133" i="3"/>
  <c r="BF138" i="3"/>
  <c r="BF108" i="3"/>
  <c r="BF112" i="3"/>
  <c r="BF116" i="3"/>
  <c r="BF120" i="3"/>
  <c r="BF124" i="3"/>
  <c r="BF152" i="3"/>
  <c r="BF167" i="3"/>
  <c r="BF169" i="3"/>
  <c r="BF158" i="3"/>
  <c r="BF162" i="3"/>
  <c r="BF166" i="3"/>
  <c r="R65" i="3"/>
  <c r="R8" i="3"/>
  <c r="R107" i="3"/>
  <c r="R149" i="3"/>
  <c r="R51" i="3"/>
  <c r="R37" i="3"/>
  <c r="R23" i="3"/>
  <c r="R16" i="3"/>
  <c r="R47" i="3"/>
  <c r="R15" i="3"/>
  <c r="R41" i="3"/>
  <c r="R22" i="3"/>
  <c r="R13" i="3"/>
  <c r="R25" i="3"/>
  <c r="R10" i="3"/>
  <c r="R91" i="3"/>
  <c r="R100" i="3"/>
  <c r="R30" i="3"/>
  <c r="R20" i="3"/>
  <c r="R36" i="3"/>
  <c r="R56" i="3"/>
  <c r="R64" i="3"/>
  <c r="R4" i="3"/>
  <c r="R38" i="3"/>
  <c r="R17" i="3"/>
  <c r="R69" i="3"/>
  <c r="R12" i="3"/>
  <c r="R147" i="3"/>
  <c r="R157" i="3"/>
  <c r="R46" i="3"/>
  <c r="R63" i="3"/>
  <c r="R71" i="3"/>
  <c r="R31" i="3"/>
  <c r="R81" i="3"/>
  <c r="R86" i="3"/>
  <c r="R62" i="3"/>
  <c r="R105" i="3"/>
  <c r="R109" i="3"/>
  <c r="R76" i="3"/>
  <c r="R98" i="3"/>
  <c r="R19" i="3"/>
  <c r="R101" i="3"/>
  <c r="R6" i="3"/>
  <c r="R72" i="3"/>
  <c r="R121" i="3"/>
  <c r="R153" i="3"/>
  <c r="R9" i="3"/>
  <c r="R131" i="3"/>
  <c r="R52" i="3"/>
  <c r="R123" i="3"/>
  <c r="R134" i="3"/>
  <c r="R169" i="3"/>
  <c r="R73" i="3"/>
  <c r="R132" i="3"/>
  <c r="R28" i="3"/>
  <c r="R88" i="3"/>
  <c r="R128" i="3"/>
  <c r="R27" i="3"/>
  <c r="R39" i="3"/>
  <c r="R44" i="3"/>
  <c r="R55" i="3"/>
  <c r="R122" i="3"/>
  <c r="R50" i="3"/>
  <c r="R142" i="3"/>
  <c r="R75" i="3"/>
  <c r="R78" i="3"/>
  <c r="R26" i="3"/>
  <c r="R58" i="3"/>
  <c r="R33" i="3"/>
  <c r="R80" i="3"/>
  <c r="R127" i="3"/>
  <c r="R42" i="3"/>
  <c r="R67" i="3"/>
  <c r="R93" i="3"/>
  <c r="R94" i="3"/>
  <c r="R97" i="3"/>
  <c r="R103" i="3"/>
  <c r="R114" i="3"/>
  <c r="R119" i="3"/>
  <c r="R141" i="3"/>
  <c r="R32" i="3"/>
  <c r="R138" i="3"/>
  <c r="R68" i="3"/>
  <c r="R85" i="3"/>
  <c r="R133" i="3"/>
  <c r="R152" i="3"/>
  <c r="R7" i="3"/>
  <c r="R43" i="3"/>
  <c r="R48" i="3"/>
  <c r="R66" i="3"/>
  <c r="R117" i="3"/>
  <c r="R143" i="3"/>
  <c r="R146" i="3"/>
  <c r="R21" i="3"/>
  <c r="R35" i="3"/>
  <c r="R54" i="3"/>
  <c r="R61" i="3"/>
  <c r="R89" i="3"/>
  <c r="R92" i="3"/>
  <c r="R95" i="3"/>
  <c r="R40" i="3"/>
  <c r="R70" i="3"/>
  <c r="R74" i="3"/>
  <c r="R77" i="3"/>
  <c r="R84" i="3"/>
  <c r="R129" i="3"/>
  <c r="R136" i="3"/>
  <c r="R14" i="3"/>
  <c r="R29" i="3"/>
  <c r="R34" i="3"/>
  <c r="R118" i="3"/>
  <c r="R11" i="3"/>
  <c r="R90" i="3"/>
  <c r="R139" i="3"/>
  <c r="R140" i="3"/>
  <c r="R150" i="3"/>
  <c r="R18" i="3"/>
  <c r="R99" i="3"/>
  <c r="R115" i="3"/>
  <c r="R5" i="3"/>
  <c r="R49" i="3"/>
  <c r="R53" i="3"/>
  <c r="R57" i="3"/>
  <c r="R102" i="3"/>
  <c r="R83" i="3"/>
  <c r="R87" i="3"/>
  <c r="R106" i="3"/>
  <c r="R164" i="3"/>
  <c r="R165" i="3"/>
  <c r="R144" i="3"/>
  <c r="R79" i="3"/>
  <c r="R96" i="3"/>
  <c r="R113" i="3"/>
  <c r="R137" i="3"/>
  <c r="R130" i="3"/>
  <c r="R145" i="3"/>
  <c r="R167" i="3"/>
  <c r="R111" i="3"/>
  <c r="R135" i="3"/>
  <c r="R159" i="3"/>
  <c r="R110" i="3"/>
  <c r="R125" i="3"/>
  <c r="R151" i="3"/>
  <c r="R108" i="3"/>
  <c r="R112" i="3"/>
  <c r="R116" i="3"/>
  <c r="R120" i="3"/>
  <c r="R124" i="3"/>
  <c r="R163" i="3"/>
  <c r="R154" i="3"/>
  <c r="R168" i="3"/>
  <c r="R156" i="3"/>
  <c r="R161" i="3"/>
  <c r="R155" i="3"/>
  <c r="R160" i="3"/>
  <c r="R158" i="3"/>
  <c r="R162" i="3"/>
  <c r="R166" i="3"/>
  <c r="AF111" i="3"/>
  <c r="AF85" i="3"/>
  <c r="AF31" i="3"/>
  <c r="AF73" i="3"/>
  <c r="AF92" i="3"/>
  <c r="AF14" i="3"/>
  <c r="AF27" i="3"/>
  <c r="AF103" i="3"/>
  <c r="AF120" i="3"/>
  <c r="AF36" i="3"/>
  <c r="AF150" i="3"/>
  <c r="AF21" i="3"/>
  <c r="AF66" i="3"/>
  <c r="AF129" i="3"/>
  <c r="AF88" i="3"/>
  <c r="AF8" i="3"/>
  <c r="AF11" i="3"/>
  <c r="AF26" i="3"/>
  <c r="AF53" i="3"/>
  <c r="AF70" i="3"/>
  <c r="AF94" i="3"/>
  <c r="AF131" i="3"/>
  <c r="AF154" i="3"/>
  <c r="AF149" i="3"/>
  <c r="AF158" i="3"/>
  <c r="AF48" i="3"/>
  <c r="AF61" i="3"/>
  <c r="AF18" i="3"/>
  <c r="AF77" i="3"/>
  <c r="AF102" i="3"/>
  <c r="AF132" i="3"/>
  <c r="AF160" i="3"/>
  <c r="AF165" i="3"/>
  <c r="AF43" i="3"/>
  <c r="AF147" i="3"/>
  <c r="AF115" i="3"/>
  <c r="AF74" i="3"/>
  <c r="AF47" i="3"/>
  <c r="AF9" i="3"/>
  <c r="AF35" i="3"/>
  <c r="AF39" i="3"/>
  <c r="AF83" i="3"/>
  <c r="AF17" i="3"/>
  <c r="AF40" i="3"/>
  <c r="AF65" i="3"/>
  <c r="AF107" i="3"/>
  <c r="AF22" i="3"/>
  <c r="AF96" i="3"/>
  <c r="AF157" i="3"/>
  <c r="AF93" i="3"/>
  <c r="AF79" i="3"/>
  <c r="AF6" i="3"/>
  <c r="AF12" i="3"/>
  <c r="AF34" i="3"/>
  <c r="AF100" i="3"/>
  <c r="AF113" i="3"/>
  <c r="AF84" i="3"/>
  <c r="AF86" i="3"/>
  <c r="AF15" i="3"/>
  <c r="AF41" i="3"/>
  <c r="AF55" i="3"/>
  <c r="AF117" i="3"/>
  <c r="AF145" i="3"/>
  <c r="AF38" i="3"/>
  <c r="AF51" i="3"/>
  <c r="AF87" i="3"/>
  <c r="AF106" i="3"/>
  <c r="AF135" i="3"/>
  <c r="AF140" i="3"/>
  <c r="AF5" i="3"/>
  <c r="AF29" i="3"/>
  <c r="AF30" i="3"/>
  <c r="AF64" i="3"/>
  <c r="AF90" i="3"/>
  <c r="AF162" i="3"/>
  <c r="AF16" i="3"/>
  <c r="AF25" i="3"/>
  <c r="AF32" i="3"/>
  <c r="AF49" i="3"/>
  <c r="AF56" i="3"/>
  <c r="AF69" i="3"/>
  <c r="AF81" i="3"/>
  <c r="AF125" i="3"/>
  <c r="AF127" i="3"/>
  <c r="AF139" i="3"/>
  <c r="AF4" i="3"/>
  <c r="AF19" i="3"/>
  <c r="AF44" i="3"/>
  <c r="AF108" i="3"/>
  <c r="AF123" i="3"/>
  <c r="AF141" i="3"/>
  <c r="AF37" i="3"/>
  <c r="AF62" i="3"/>
  <c r="AF75" i="3"/>
  <c r="AF10" i="3"/>
  <c r="AF28" i="3"/>
  <c r="AF33" i="3"/>
  <c r="AF72" i="3"/>
  <c r="AF76" i="3"/>
  <c r="AF91" i="3"/>
  <c r="AF97" i="3"/>
  <c r="AF110" i="3"/>
  <c r="AF42" i="3"/>
  <c r="AF68" i="3"/>
  <c r="AF101" i="3"/>
  <c r="AF116" i="3"/>
  <c r="AF137" i="3"/>
  <c r="AF23" i="3"/>
  <c r="AF52" i="3"/>
  <c r="AF57" i="3"/>
  <c r="AF78" i="3"/>
  <c r="AF122" i="3"/>
  <c r="AF151" i="3"/>
  <c r="AF13" i="3"/>
  <c r="AF121" i="3"/>
  <c r="AF20" i="3"/>
  <c r="AF46" i="3"/>
  <c r="AF50" i="3"/>
  <c r="AF54" i="3"/>
  <c r="AF58" i="3"/>
  <c r="AF105" i="3"/>
  <c r="AF136" i="3"/>
  <c r="AF7" i="3"/>
  <c r="AF63" i="3"/>
  <c r="AF67" i="3"/>
  <c r="AF71" i="3"/>
  <c r="AF95" i="3"/>
  <c r="AF98" i="3"/>
  <c r="AF112" i="3"/>
  <c r="AF144" i="3"/>
  <c r="AF156" i="3"/>
  <c r="AF161" i="3"/>
  <c r="AF99" i="3"/>
  <c r="AF114" i="3"/>
  <c r="AF153" i="3"/>
  <c r="AF80" i="3"/>
  <c r="AF89" i="3"/>
  <c r="AF166" i="3"/>
  <c r="AF109" i="3"/>
  <c r="AF119" i="3"/>
  <c r="AF124" i="3"/>
  <c r="AF143" i="3"/>
  <c r="AF118" i="3"/>
  <c r="AF128" i="3"/>
  <c r="AF133" i="3"/>
  <c r="AF164" i="3"/>
  <c r="AF130" i="3"/>
  <c r="AF134" i="3"/>
  <c r="AF138" i="3"/>
  <c r="AF142" i="3"/>
  <c r="AF146" i="3"/>
  <c r="AF169" i="3"/>
  <c r="AF168" i="3"/>
  <c r="AF152" i="3"/>
  <c r="AF155" i="3"/>
  <c r="AF159" i="3"/>
  <c r="AF163" i="3"/>
  <c r="AF167" i="3"/>
  <c r="AM71" i="3"/>
  <c r="AM85" i="3"/>
  <c r="AM27" i="3"/>
  <c r="AM6" i="3"/>
  <c r="AM33" i="3"/>
  <c r="AM91" i="3"/>
  <c r="AM162" i="3"/>
  <c r="AM7" i="3"/>
  <c r="AM160" i="3"/>
  <c r="AM103" i="3"/>
  <c r="AM70" i="3"/>
  <c r="AM84" i="3"/>
  <c r="AM94" i="3"/>
  <c r="AM167" i="3"/>
  <c r="AM55" i="3"/>
  <c r="AM158" i="3"/>
  <c r="AM66" i="3"/>
  <c r="AM145" i="3"/>
  <c r="AM169" i="3"/>
  <c r="AM38" i="3"/>
  <c r="AM48" i="3"/>
  <c r="AM54" i="3"/>
  <c r="AM122" i="3"/>
  <c r="AM143" i="3"/>
  <c r="AM52" i="3"/>
  <c r="AM16" i="3"/>
  <c r="AM114" i="3"/>
  <c r="AM25" i="3"/>
  <c r="AM62" i="3"/>
  <c r="AM35" i="3"/>
  <c r="AM80" i="3"/>
  <c r="AM128" i="3"/>
  <c r="AM131" i="3"/>
  <c r="AM75" i="3"/>
  <c r="AM37" i="3"/>
  <c r="AM47" i="3"/>
  <c r="AM68" i="3"/>
  <c r="AM105" i="3"/>
  <c r="AM50" i="3"/>
  <c r="AM86" i="3"/>
  <c r="AM144" i="3"/>
  <c r="AM157" i="3"/>
  <c r="AM10" i="3"/>
  <c r="AM43" i="3"/>
  <c r="AM61" i="3"/>
  <c r="AM146" i="3"/>
  <c r="AM67" i="3"/>
  <c r="AM89" i="3"/>
  <c r="AM98" i="3"/>
  <c r="AM115" i="3"/>
  <c r="AM136" i="3"/>
  <c r="AM5" i="3"/>
  <c r="AM56" i="3"/>
  <c r="AM101" i="3"/>
  <c r="AM130" i="3"/>
  <c r="AM69" i="3"/>
  <c r="AM97" i="3"/>
  <c r="AM139" i="3"/>
  <c r="AM141" i="3"/>
  <c r="AM8" i="3"/>
  <c r="AM42" i="3"/>
  <c r="AM79" i="3"/>
  <c r="AM57" i="3"/>
  <c r="AM99" i="3"/>
  <c r="AM155" i="3"/>
  <c r="AM30" i="3"/>
  <c r="AM31" i="3"/>
  <c r="AM63" i="3"/>
  <c r="AM72" i="3"/>
  <c r="AM163" i="3"/>
  <c r="AM13" i="3"/>
  <c r="AM20" i="3"/>
  <c r="AM22" i="3"/>
  <c r="AM74" i="3"/>
  <c r="AM77" i="3"/>
  <c r="AM102" i="3"/>
  <c r="AM15" i="3"/>
  <c r="AM19" i="3"/>
  <c r="AM23" i="3"/>
  <c r="AM49" i="3"/>
  <c r="AM113" i="3"/>
  <c r="AM118" i="3"/>
  <c r="AM17" i="3"/>
  <c r="AM21" i="3"/>
  <c r="AM26" i="3"/>
  <c r="AM76" i="3"/>
  <c r="AM137" i="3"/>
  <c r="AM12" i="3"/>
  <c r="AM41" i="3"/>
  <c r="AM46" i="3"/>
  <c r="AM88" i="3"/>
  <c r="AM92" i="3"/>
  <c r="AM64" i="3"/>
  <c r="AM9" i="3"/>
  <c r="AM51" i="3"/>
  <c r="AM78" i="3"/>
  <c r="AM95" i="3"/>
  <c r="AM14" i="3"/>
  <c r="AM29" i="3"/>
  <c r="AM34" i="3"/>
  <c r="AM90" i="3"/>
  <c r="AM106" i="3"/>
  <c r="AM138" i="3"/>
  <c r="AM73" i="3"/>
  <c r="AM100" i="3"/>
  <c r="AM117" i="3"/>
  <c r="AM39" i="3"/>
  <c r="AM53" i="3"/>
  <c r="AM58" i="3"/>
  <c r="AM65" i="3"/>
  <c r="AM107" i="3"/>
  <c r="AM123" i="3"/>
  <c r="AM127" i="3"/>
  <c r="AM149" i="3"/>
  <c r="AM168" i="3"/>
  <c r="AM4" i="3"/>
  <c r="AM28" i="3"/>
  <c r="AM32" i="3"/>
  <c r="AM36" i="3"/>
  <c r="AM40" i="3"/>
  <c r="AM44" i="3"/>
  <c r="AM154" i="3"/>
  <c r="AM11" i="3"/>
  <c r="AM121" i="3"/>
  <c r="AM142" i="3"/>
  <c r="AM18" i="3"/>
  <c r="AM81" i="3"/>
  <c r="AM93" i="3"/>
  <c r="AM119" i="3"/>
  <c r="AM132" i="3"/>
  <c r="AM166" i="3"/>
  <c r="AM135" i="3"/>
  <c r="AM83" i="3"/>
  <c r="AM87" i="3"/>
  <c r="AM151" i="3"/>
  <c r="AM96" i="3"/>
  <c r="AM109" i="3"/>
  <c r="AM111" i="3"/>
  <c r="AM133" i="3"/>
  <c r="AM147" i="3"/>
  <c r="AM150" i="3"/>
  <c r="AM152" i="3"/>
  <c r="AM156" i="3"/>
  <c r="AM110" i="3"/>
  <c r="AM125" i="3"/>
  <c r="AM140" i="3"/>
  <c r="AM129" i="3"/>
  <c r="AM134" i="3"/>
  <c r="AM108" i="3"/>
  <c r="AM112" i="3"/>
  <c r="AM116" i="3"/>
  <c r="AM120" i="3"/>
  <c r="AM124" i="3"/>
  <c r="AM153" i="3"/>
  <c r="AM159" i="3"/>
  <c r="AM161" i="3"/>
  <c r="AM164" i="3"/>
  <c r="AM165" i="3"/>
  <c r="BM117" i="3"/>
  <c r="BM53" i="3"/>
  <c r="BM113" i="3"/>
  <c r="BM17" i="3"/>
  <c r="BM112" i="3"/>
  <c r="BM19" i="3"/>
  <c r="BM132" i="3"/>
  <c r="BM25" i="3"/>
  <c r="BM98" i="3"/>
  <c r="BM10" i="3"/>
  <c r="BM108" i="3"/>
  <c r="BM4" i="3"/>
  <c r="BM101" i="3"/>
  <c r="BM118" i="3"/>
  <c r="BM8" i="3"/>
  <c r="BM67" i="3"/>
  <c r="BM48" i="3"/>
  <c r="BM89" i="3"/>
  <c r="BM26" i="3"/>
  <c r="BM95" i="3"/>
  <c r="BM56" i="3"/>
  <c r="BM14" i="3"/>
  <c r="BM32" i="3"/>
  <c r="BM13" i="3"/>
  <c r="BM161" i="3"/>
  <c r="BM36" i="3"/>
  <c r="BM58" i="3"/>
  <c r="BM114" i="3"/>
  <c r="BM124" i="3"/>
  <c r="BM30" i="3"/>
  <c r="BM83" i="3"/>
  <c r="BM134" i="3"/>
  <c r="BM120" i="3"/>
  <c r="BM57" i="3"/>
  <c r="BM129" i="3"/>
  <c r="BM137" i="3"/>
  <c r="BM106" i="3"/>
  <c r="BM15" i="3"/>
  <c r="BM47" i="3"/>
  <c r="BM74" i="3"/>
  <c r="BM150" i="3"/>
  <c r="BM166" i="3"/>
  <c r="BM91" i="3"/>
  <c r="BM102" i="3"/>
  <c r="BM18" i="3"/>
  <c r="BM33" i="3"/>
  <c r="BM66" i="3"/>
  <c r="BM110" i="3"/>
  <c r="BM141" i="3"/>
  <c r="BM42" i="3"/>
  <c r="BM55" i="3"/>
  <c r="BM73" i="3"/>
  <c r="BM84" i="3"/>
  <c r="BM103" i="3"/>
  <c r="BM20" i="3"/>
  <c r="BM6" i="3"/>
  <c r="BM23" i="3"/>
  <c r="BM78" i="3"/>
  <c r="BM34" i="3"/>
  <c r="BM5" i="3"/>
  <c r="BM28" i="3"/>
  <c r="BM40" i="3"/>
  <c r="BM61" i="3"/>
  <c r="BM71" i="3"/>
  <c r="BM85" i="3"/>
  <c r="BM138" i="3"/>
  <c r="BM29" i="3"/>
  <c r="BM37" i="3"/>
  <c r="BM50" i="3"/>
  <c r="BM62" i="3"/>
  <c r="BM125" i="3"/>
  <c r="BM38" i="3"/>
  <c r="BM63" i="3"/>
  <c r="BM90" i="3"/>
  <c r="BM157" i="3"/>
  <c r="BM158" i="3"/>
  <c r="BM168" i="3"/>
  <c r="BM167" i="3"/>
  <c r="BM52" i="3"/>
  <c r="BM12" i="3"/>
  <c r="BM41" i="3"/>
  <c r="BM46" i="3"/>
  <c r="BM79" i="3"/>
  <c r="BM80" i="3"/>
  <c r="BM7" i="3"/>
  <c r="BM69" i="3"/>
  <c r="BM81" i="3"/>
  <c r="BM152" i="3"/>
  <c r="BM169" i="3"/>
  <c r="BM44" i="3"/>
  <c r="BM51" i="3"/>
  <c r="BM72" i="3"/>
  <c r="BM146" i="3"/>
  <c r="BM87" i="3"/>
  <c r="BM11" i="3"/>
  <c r="BM21" i="3"/>
  <c r="BM49" i="3"/>
  <c r="BM54" i="3"/>
  <c r="BM142" i="3"/>
  <c r="BM65" i="3"/>
  <c r="BM70" i="3"/>
  <c r="BM97" i="3"/>
  <c r="BM121" i="3"/>
  <c r="BM22" i="3"/>
  <c r="BM64" i="3"/>
  <c r="BM68" i="3"/>
  <c r="BM99" i="3"/>
  <c r="BM144" i="3"/>
  <c r="BM156" i="3"/>
  <c r="BM9" i="3"/>
  <c r="BM27" i="3"/>
  <c r="BM31" i="3"/>
  <c r="BM35" i="3"/>
  <c r="BM39" i="3"/>
  <c r="BM43" i="3"/>
  <c r="BM75" i="3"/>
  <c r="BM77" i="3"/>
  <c r="BM151" i="3"/>
  <c r="BM16" i="3"/>
  <c r="BM76" i="3"/>
  <c r="BM122" i="3"/>
  <c r="BM136" i="3"/>
  <c r="BM93" i="3"/>
  <c r="BM128" i="3"/>
  <c r="BM116" i="3"/>
  <c r="BM86" i="3"/>
  <c r="BM94" i="3"/>
  <c r="BM109" i="3"/>
  <c r="BM133" i="3"/>
  <c r="BM88" i="3"/>
  <c r="BM92" i="3"/>
  <c r="BM96" i="3"/>
  <c r="BM100" i="3"/>
  <c r="BM105" i="3"/>
  <c r="BM162" i="3"/>
  <c r="BM130" i="3"/>
  <c r="BM140" i="3"/>
  <c r="BM145" i="3"/>
  <c r="BM154" i="3"/>
  <c r="BM163" i="3"/>
  <c r="BM127" i="3"/>
  <c r="BM131" i="3"/>
  <c r="BM135" i="3"/>
  <c r="BM139" i="3"/>
  <c r="BM143" i="3"/>
  <c r="BM147" i="3"/>
  <c r="BM159" i="3"/>
  <c r="BM107" i="3"/>
  <c r="BM111" i="3"/>
  <c r="BM115" i="3"/>
  <c r="BM119" i="3"/>
  <c r="BM123" i="3"/>
  <c r="BM164" i="3"/>
  <c r="BM149" i="3"/>
  <c r="BM153" i="3"/>
  <c r="BM155" i="3"/>
  <c r="BM160" i="3"/>
  <c r="BM165" i="3"/>
  <c r="AT87" i="3"/>
  <c r="AT62" i="3"/>
  <c r="AT152" i="3"/>
  <c r="AT20" i="3"/>
  <c r="AT46" i="3"/>
  <c r="AT85" i="3"/>
  <c r="AT54" i="3"/>
  <c r="AT72" i="3"/>
  <c r="AT11" i="3"/>
  <c r="AT117" i="3"/>
  <c r="AT97" i="3"/>
  <c r="AT121" i="3"/>
  <c r="AT49" i="3"/>
  <c r="AT13" i="3"/>
  <c r="AT151" i="3"/>
  <c r="AT40" i="3"/>
  <c r="AT12" i="3"/>
  <c r="AT4" i="3"/>
  <c r="AT56" i="3"/>
  <c r="AT80" i="3"/>
  <c r="AT83" i="3"/>
  <c r="AT134" i="3"/>
  <c r="AT7" i="3"/>
  <c r="AT129" i="3"/>
  <c r="AT119" i="3"/>
  <c r="AT16" i="3"/>
  <c r="AT33" i="3"/>
  <c r="AT76" i="3"/>
  <c r="AT75" i="3"/>
  <c r="AT88" i="3"/>
  <c r="AT123" i="3"/>
  <c r="AT133" i="3"/>
  <c r="AT14" i="3"/>
  <c r="AT69" i="3"/>
  <c r="AT58" i="3"/>
  <c r="AT110" i="3"/>
  <c r="AT137" i="3"/>
  <c r="AT23" i="3"/>
  <c r="AT29" i="3"/>
  <c r="AT52" i="3"/>
  <c r="AT79" i="3"/>
  <c r="AT6" i="3"/>
  <c r="AT28" i="3"/>
  <c r="AT34" i="3"/>
  <c r="AT37" i="3"/>
  <c r="AT114" i="3"/>
  <c r="AT41" i="3"/>
  <c r="AT8" i="3"/>
  <c r="AT19" i="3"/>
  <c r="AT30" i="3"/>
  <c r="AT107" i="3"/>
  <c r="AT109" i="3"/>
  <c r="AT10" i="3"/>
  <c r="AT90" i="3"/>
  <c r="AT53" i="3"/>
  <c r="AT65" i="3"/>
  <c r="AT91" i="3"/>
  <c r="AT138" i="3"/>
  <c r="AT140" i="3"/>
  <c r="AT116" i="3"/>
  <c r="AT17" i="3"/>
  <c r="AT32" i="3"/>
  <c r="AT36" i="3"/>
  <c r="AT95" i="3"/>
  <c r="AT167" i="3"/>
  <c r="AT42" i="3"/>
  <c r="AT44" i="3"/>
  <c r="AT57" i="3"/>
  <c r="AT67" i="3"/>
  <c r="AT115" i="3"/>
  <c r="AT142" i="3"/>
  <c r="AT70" i="3"/>
  <c r="AT84" i="3"/>
  <c r="AT150" i="3"/>
  <c r="AT25" i="3"/>
  <c r="AT38" i="3"/>
  <c r="AT63" i="3"/>
  <c r="AT86" i="3"/>
  <c r="AT99" i="3"/>
  <c r="AT100" i="3"/>
  <c r="AT102" i="3"/>
  <c r="AT103" i="3"/>
  <c r="AT112" i="3"/>
  <c r="AT165" i="3"/>
  <c r="AT18" i="3"/>
  <c r="AT26" i="3"/>
  <c r="AT48" i="3"/>
  <c r="AT101" i="3"/>
  <c r="AT5" i="3"/>
  <c r="AT21" i="3"/>
  <c r="AT98" i="3"/>
  <c r="AT89" i="3"/>
  <c r="AT128" i="3"/>
  <c r="AT50" i="3"/>
  <c r="AT71" i="3"/>
  <c r="AT111" i="3"/>
  <c r="AT113" i="3"/>
  <c r="AT145" i="3"/>
  <c r="AT61" i="3"/>
  <c r="AT66" i="3"/>
  <c r="AT96" i="3"/>
  <c r="AT124" i="3"/>
  <c r="AT155" i="3"/>
  <c r="AT15" i="3"/>
  <c r="AT47" i="3"/>
  <c r="AT51" i="3"/>
  <c r="AT55" i="3"/>
  <c r="AT94" i="3"/>
  <c r="AT22" i="3"/>
  <c r="AT64" i="3"/>
  <c r="AT68" i="3"/>
  <c r="AT74" i="3"/>
  <c r="AT78" i="3"/>
  <c r="AT154" i="3"/>
  <c r="AT9" i="3"/>
  <c r="AT27" i="3"/>
  <c r="AT31" i="3"/>
  <c r="AT35" i="3"/>
  <c r="AT39" i="3"/>
  <c r="AT43" i="3"/>
  <c r="AT118" i="3"/>
  <c r="AT162" i="3"/>
  <c r="AT73" i="3"/>
  <c r="AT77" i="3"/>
  <c r="AT81" i="3"/>
  <c r="AT92" i="3"/>
  <c r="AT120" i="3"/>
  <c r="AT122" i="3"/>
  <c r="AT144" i="3"/>
  <c r="AT130" i="3"/>
  <c r="AT93" i="3"/>
  <c r="AT108" i="3"/>
  <c r="AT125" i="3"/>
  <c r="AT132" i="3"/>
  <c r="AT159" i="3"/>
  <c r="AT169" i="3"/>
  <c r="AT136" i="3"/>
  <c r="AT141" i="3"/>
  <c r="AT146" i="3"/>
  <c r="AT157" i="3"/>
  <c r="AT105" i="3"/>
  <c r="AT106" i="3"/>
  <c r="AT127" i="3"/>
  <c r="AT131" i="3"/>
  <c r="AT135" i="3"/>
  <c r="AT139" i="3"/>
  <c r="AT143" i="3"/>
  <c r="AT147" i="3"/>
  <c r="AT158" i="3"/>
  <c r="AT149" i="3"/>
  <c r="AT163" i="3"/>
  <c r="AT153" i="3"/>
  <c r="AT161" i="3"/>
  <c r="AT166" i="3"/>
  <c r="AT156" i="3"/>
  <c r="AT160" i="3"/>
  <c r="AT164" i="3"/>
  <c r="AT168" i="3"/>
  <c r="P74" i="3"/>
  <c r="P28" i="3"/>
  <c r="P8" i="3"/>
  <c r="P38" i="3"/>
  <c r="P47" i="3"/>
  <c r="P42" i="3"/>
  <c r="P161" i="3"/>
  <c r="P17" i="3"/>
  <c r="P106" i="3"/>
  <c r="P111" i="3"/>
  <c r="P112" i="3"/>
  <c r="P150" i="3"/>
  <c r="P107" i="3"/>
  <c r="P164" i="3"/>
  <c r="P63" i="3"/>
  <c r="P20" i="3"/>
  <c r="P50" i="3"/>
  <c r="P72" i="3"/>
  <c r="P84" i="3"/>
  <c r="P93" i="3"/>
  <c r="P67" i="3"/>
  <c r="P76" i="3"/>
  <c r="P128" i="3"/>
  <c r="P30" i="3"/>
  <c r="P87" i="3"/>
  <c r="P127" i="3"/>
  <c r="P144" i="3"/>
  <c r="P36" i="3"/>
  <c r="P139" i="3"/>
  <c r="P13" i="3"/>
  <c r="P88" i="3"/>
  <c r="P92" i="3"/>
  <c r="P135" i="3"/>
  <c r="P159" i="3"/>
  <c r="P9" i="3"/>
  <c r="P55" i="3"/>
  <c r="P6" i="3"/>
  <c r="P51" i="3"/>
  <c r="P95" i="3"/>
  <c r="P27" i="3"/>
  <c r="P80" i="3"/>
  <c r="P83" i="3"/>
  <c r="P124" i="3"/>
  <c r="P52" i="3"/>
  <c r="P16" i="3"/>
  <c r="P35" i="3"/>
  <c r="P64" i="3"/>
  <c r="P91" i="3"/>
  <c r="P121" i="3"/>
  <c r="P123" i="3"/>
  <c r="P4" i="3"/>
  <c r="P23" i="3"/>
  <c r="P99" i="3"/>
  <c r="P120" i="3"/>
  <c r="P18" i="3"/>
  <c r="P26" i="3"/>
  <c r="P40" i="3"/>
  <c r="P78" i="3"/>
  <c r="P22" i="3"/>
  <c r="P10" i="3"/>
  <c r="P54" i="3"/>
  <c r="P94" i="3"/>
  <c r="P32" i="3"/>
  <c r="P85" i="3"/>
  <c r="P138" i="3"/>
  <c r="P56" i="3"/>
  <c r="P68" i="3"/>
  <c r="P69" i="3"/>
  <c r="P89" i="3"/>
  <c r="P155" i="3"/>
  <c r="P44" i="3"/>
  <c r="P46" i="3"/>
  <c r="P105" i="3"/>
  <c r="P152" i="3"/>
  <c r="P7" i="3"/>
  <c r="P43" i="3"/>
  <c r="P48" i="3"/>
  <c r="P115" i="3"/>
  <c r="P143" i="3"/>
  <c r="P146" i="3"/>
  <c r="P167" i="3"/>
  <c r="P15" i="3"/>
  <c r="P21" i="3"/>
  <c r="P31" i="3"/>
  <c r="P71" i="3"/>
  <c r="P100" i="3"/>
  <c r="P103" i="3"/>
  <c r="P136" i="3"/>
  <c r="P154" i="3"/>
  <c r="P61" i="3"/>
  <c r="P77" i="3"/>
  <c r="P86" i="3"/>
  <c r="P90" i="3"/>
  <c r="P98" i="3"/>
  <c r="P101" i="3"/>
  <c r="P109" i="3"/>
  <c r="P122" i="3"/>
  <c r="P157" i="3"/>
  <c r="P163" i="3"/>
  <c r="P14" i="3"/>
  <c r="P34" i="3"/>
  <c r="P11" i="3"/>
  <c r="P114" i="3"/>
  <c r="P147" i="3"/>
  <c r="P39" i="3"/>
  <c r="P58" i="3"/>
  <c r="P65" i="3"/>
  <c r="P73" i="3"/>
  <c r="P119" i="3"/>
  <c r="P5" i="3"/>
  <c r="P49" i="3"/>
  <c r="P53" i="3"/>
  <c r="P57" i="3"/>
  <c r="P102" i="3"/>
  <c r="P116" i="3"/>
  <c r="P160" i="3"/>
  <c r="P12" i="3"/>
  <c r="P62" i="3"/>
  <c r="P66" i="3"/>
  <c r="P70" i="3"/>
  <c r="P168" i="3"/>
  <c r="P19" i="3"/>
  <c r="P25" i="3"/>
  <c r="P29" i="3"/>
  <c r="P33" i="3"/>
  <c r="P37" i="3"/>
  <c r="P41" i="3"/>
  <c r="P81" i="3"/>
  <c r="P117" i="3"/>
  <c r="P131" i="3"/>
  <c r="P75" i="3"/>
  <c r="P79" i="3"/>
  <c r="P96" i="3"/>
  <c r="P113" i="3"/>
  <c r="P130" i="3"/>
  <c r="P108" i="3"/>
  <c r="P132" i="3"/>
  <c r="P97" i="3"/>
  <c r="P118" i="3"/>
  <c r="P142" i="3"/>
  <c r="P110" i="3"/>
  <c r="P125" i="3"/>
  <c r="P140" i="3"/>
  <c r="P149" i="3"/>
  <c r="P134" i="3"/>
  <c r="P169" i="3"/>
  <c r="P156" i="3"/>
  <c r="P129" i="3"/>
  <c r="P133" i="3"/>
  <c r="P137" i="3"/>
  <c r="P141" i="3"/>
  <c r="P145" i="3"/>
  <c r="P153" i="3"/>
  <c r="P151" i="3"/>
  <c r="P165" i="3"/>
  <c r="P158" i="3"/>
  <c r="P162" i="3"/>
  <c r="P166" i="3"/>
  <c r="BI99" i="3"/>
  <c r="BI18" i="3"/>
  <c r="BI79" i="3"/>
  <c r="BI8" i="3"/>
  <c r="BI87" i="3"/>
  <c r="BI26" i="3"/>
  <c r="BI80" i="3"/>
  <c r="BI97" i="3"/>
  <c r="BI102" i="3"/>
  <c r="BI76" i="3"/>
  <c r="BI122" i="3"/>
  <c r="BI34" i="3"/>
  <c r="BI116" i="3"/>
  <c r="BI43" i="3"/>
  <c r="BI112" i="3"/>
  <c r="BI38" i="3"/>
  <c r="BI90" i="3"/>
  <c r="BI127" i="3"/>
  <c r="BI70" i="3"/>
  <c r="BI92" i="3"/>
  <c r="BI41" i="3"/>
  <c r="BI64" i="3"/>
  <c r="BI163" i="3"/>
  <c r="BI7" i="3"/>
  <c r="BI130" i="3"/>
  <c r="BI63" i="3"/>
  <c r="BI111" i="3"/>
  <c r="BI20" i="3"/>
  <c r="BI46" i="3"/>
  <c r="BI120" i="3"/>
  <c r="BI21" i="3"/>
  <c r="BI118" i="3"/>
  <c r="BI42" i="3"/>
  <c r="BI12" i="3"/>
  <c r="BI93" i="3"/>
  <c r="BI6" i="3"/>
  <c r="BI71" i="3"/>
  <c r="BI72" i="3"/>
  <c r="BI47" i="3"/>
  <c r="BI119" i="3"/>
  <c r="BI77" i="3"/>
  <c r="BI57" i="3"/>
  <c r="BI141" i="3"/>
  <c r="BI142" i="3"/>
  <c r="BI84" i="3"/>
  <c r="BI151" i="3"/>
  <c r="BI9" i="3"/>
  <c r="BI16" i="3"/>
  <c r="BI35" i="3"/>
  <c r="BI73" i="3"/>
  <c r="BI108" i="3"/>
  <c r="BI147" i="3"/>
  <c r="BI68" i="3"/>
  <c r="BI14" i="3"/>
  <c r="BI31" i="3"/>
  <c r="BI88" i="3"/>
  <c r="BI156" i="3"/>
  <c r="BI11" i="3"/>
  <c r="BI23" i="3"/>
  <c r="BI33" i="3"/>
  <c r="BI106" i="3"/>
  <c r="BI125" i="3"/>
  <c r="BI15" i="3"/>
  <c r="BI29" i="3"/>
  <c r="BI55" i="3"/>
  <c r="BI83" i="3"/>
  <c r="BI50" i="3"/>
  <c r="BI75" i="3"/>
  <c r="BI85" i="3"/>
  <c r="BI96" i="3"/>
  <c r="BI67" i="3"/>
  <c r="BI5" i="3"/>
  <c r="BI51" i="3"/>
  <c r="BI158" i="3"/>
  <c r="BI168" i="3"/>
  <c r="BI94" i="3"/>
  <c r="BI66" i="3"/>
  <c r="BI100" i="3"/>
  <c r="BI103" i="3"/>
  <c r="BI107" i="3"/>
  <c r="BI110" i="3"/>
  <c r="BI25" i="3"/>
  <c r="BI27" i="3"/>
  <c r="BI49" i="3"/>
  <c r="BI13" i="3"/>
  <c r="BI19" i="3"/>
  <c r="BI22" i="3"/>
  <c r="BI117" i="3"/>
  <c r="BI143" i="3"/>
  <c r="BI30" i="3"/>
  <c r="BI37" i="3"/>
  <c r="BI54" i="3"/>
  <c r="BI62" i="3"/>
  <c r="BI124" i="3"/>
  <c r="BI133" i="3"/>
  <c r="BI167" i="3"/>
  <c r="BI39" i="3"/>
  <c r="BI53" i="3"/>
  <c r="BI58" i="3"/>
  <c r="BI121" i="3"/>
  <c r="BI162" i="3"/>
  <c r="BI91" i="3"/>
  <c r="BI98" i="3"/>
  <c r="BI109" i="3"/>
  <c r="BI135" i="3"/>
  <c r="BI10" i="3"/>
  <c r="BI48" i="3"/>
  <c r="BI52" i="3"/>
  <c r="BI56" i="3"/>
  <c r="BI145" i="3"/>
  <c r="BI146" i="3"/>
  <c r="BI17" i="3"/>
  <c r="BI61" i="3"/>
  <c r="BI65" i="3"/>
  <c r="BI69" i="3"/>
  <c r="BI81" i="3"/>
  <c r="BI113" i="3"/>
  <c r="BI160" i="3"/>
  <c r="BI4" i="3"/>
  <c r="BI28" i="3"/>
  <c r="BI32" i="3"/>
  <c r="BI36" i="3"/>
  <c r="BI40" i="3"/>
  <c r="BI44" i="3"/>
  <c r="BI86" i="3"/>
  <c r="BI89" i="3"/>
  <c r="BI101" i="3"/>
  <c r="BI137" i="3"/>
  <c r="BI149" i="3"/>
  <c r="BI74" i="3"/>
  <c r="BI78" i="3"/>
  <c r="BI95" i="3"/>
  <c r="BI114" i="3"/>
  <c r="BI123" i="3"/>
  <c r="BI138" i="3"/>
  <c r="BI105" i="3"/>
  <c r="BI131" i="3"/>
  <c r="BI152" i="3"/>
  <c r="BI129" i="3"/>
  <c r="BI134" i="3"/>
  <c r="BI166" i="3"/>
  <c r="BI115" i="3"/>
  <c r="BI139" i="3"/>
  <c r="BI155" i="3"/>
  <c r="BI153" i="3"/>
  <c r="BI128" i="3"/>
  <c r="BI132" i="3"/>
  <c r="BI136" i="3"/>
  <c r="BI140" i="3"/>
  <c r="BI144" i="3"/>
  <c r="BI150" i="3"/>
  <c r="BI154" i="3"/>
  <c r="BI159" i="3"/>
  <c r="BI164" i="3"/>
  <c r="BI157" i="3"/>
  <c r="BI161" i="3"/>
  <c r="BI165" i="3"/>
  <c r="BI169" i="3"/>
  <c r="L76" i="3"/>
  <c r="L74" i="3"/>
  <c r="L15" i="3"/>
  <c r="L151" i="3"/>
  <c r="L8" i="3"/>
  <c r="L65" i="3"/>
  <c r="L140" i="3"/>
  <c r="L61" i="3"/>
  <c r="L115" i="3"/>
  <c r="L116" i="3"/>
  <c r="L37" i="3"/>
  <c r="L145" i="3"/>
  <c r="L42" i="3"/>
  <c r="L16" i="3"/>
  <c r="L149" i="3"/>
  <c r="L52" i="3"/>
  <c r="L28" i="3"/>
  <c r="L26" i="3"/>
  <c r="L19" i="3"/>
  <c r="L154" i="3"/>
  <c r="L113" i="3"/>
  <c r="L81" i="3"/>
  <c r="L97" i="3"/>
  <c r="L72" i="3"/>
  <c r="L88" i="3"/>
  <c r="L112" i="3"/>
  <c r="L30" i="3"/>
  <c r="L49" i="3"/>
  <c r="L5" i="3"/>
  <c r="L39" i="3"/>
  <c r="L143" i="3"/>
  <c r="L11" i="3"/>
  <c r="L27" i="3"/>
  <c r="L84" i="3"/>
  <c r="L93" i="3"/>
  <c r="L153" i="3"/>
  <c r="L40" i="3"/>
  <c r="L137" i="3"/>
  <c r="L10" i="3"/>
  <c r="L6" i="3"/>
  <c r="L56" i="3"/>
  <c r="L139" i="3"/>
  <c r="L95" i="3"/>
  <c r="L32" i="3"/>
  <c r="L68" i="3"/>
  <c r="L62" i="3"/>
  <c r="L121" i="3"/>
  <c r="L122" i="3"/>
  <c r="L4" i="3"/>
  <c r="L132" i="3"/>
  <c r="L31" i="3"/>
  <c r="L33" i="3"/>
  <c r="L55" i="3"/>
  <c r="L120" i="3"/>
  <c r="L127" i="3"/>
  <c r="L23" i="3"/>
  <c r="L77" i="3"/>
  <c r="L14" i="3"/>
  <c r="L21" i="3"/>
  <c r="L57" i="3"/>
  <c r="L75" i="3"/>
  <c r="L164" i="3"/>
  <c r="L66" i="3"/>
  <c r="L25" i="3"/>
  <c r="L83" i="3"/>
  <c r="L123" i="3"/>
  <c r="L136" i="3"/>
  <c r="L18" i="3"/>
  <c r="L94" i="3"/>
  <c r="L106" i="3"/>
  <c r="L119" i="3"/>
  <c r="L131" i="3"/>
  <c r="L110" i="3"/>
  <c r="L156" i="3"/>
  <c r="L35" i="3"/>
  <c r="L44" i="3"/>
  <c r="L73" i="3"/>
  <c r="L78" i="3"/>
  <c r="L79" i="3"/>
  <c r="L22" i="3"/>
  <c r="L70" i="3"/>
  <c r="L92" i="3"/>
  <c r="L9" i="3"/>
  <c r="L34" i="3"/>
  <c r="L36" i="3"/>
  <c r="L103" i="3"/>
  <c r="L124" i="3"/>
  <c r="L29" i="3"/>
  <c r="L51" i="3"/>
  <c r="L86" i="3"/>
  <c r="L102" i="3"/>
  <c r="L157" i="3"/>
  <c r="L12" i="3"/>
  <c r="L41" i="3"/>
  <c r="L91" i="3"/>
  <c r="L135" i="3"/>
  <c r="L168" i="3"/>
  <c r="L38" i="3"/>
  <c r="L64" i="3"/>
  <c r="L108" i="3"/>
  <c r="L133" i="3"/>
  <c r="L17" i="3"/>
  <c r="L48" i="3"/>
  <c r="L53" i="3"/>
  <c r="L90" i="3"/>
  <c r="L100" i="3"/>
  <c r="L43" i="3"/>
  <c r="L47" i="3"/>
  <c r="L69" i="3"/>
  <c r="L87" i="3"/>
  <c r="L150" i="3"/>
  <c r="L162" i="3"/>
  <c r="L13" i="3"/>
  <c r="L85" i="3"/>
  <c r="L96" i="3"/>
  <c r="L118" i="3"/>
  <c r="L20" i="3"/>
  <c r="L46" i="3"/>
  <c r="L50" i="3"/>
  <c r="L54" i="3"/>
  <c r="L58" i="3"/>
  <c r="L107" i="3"/>
  <c r="L117" i="3"/>
  <c r="L7" i="3"/>
  <c r="L63" i="3"/>
  <c r="L67" i="3"/>
  <c r="L71" i="3"/>
  <c r="L101" i="3"/>
  <c r="L109" i="3"/>
  <c r="L141" i="3"/>
  <c r="L165" i="3"/>
  <c r="L98" i="3"/>
  <c r="L125" i="3"/>
  <c r="L80" i="3"/>
  <c r="L99" i="3"/>
  <c r="L105" i="3"/>
  <c r="L111" i="3"/>
  <c r="L147" i="3"/>
  <c r="L89" i="3"/>
  <c r="L128" i="3"/>
  <c r="L114" i="3"/>
  <c r="L158" i="3"/>
  <c r="L160" i="3"/>
  <c r="L129" i="3"/>
  <c r="L144" i="3"/>
  <c r="L161" i="3"/>
  <c r="L166" i="3"/>
  <c r="L130" i="3"/>
  <c r="L134" i="3"/>
  <c r="L138" i="3"/>
  <c r="L142" i="3"/>
  <c r="L146" i="3"/>
  <c r="L152" i="3"/>
  <c r="L169" i="3"/>
  <c r="L155" i="3"/>
  <c r="L159" i="3"/>
  <c r="L163" i="3"/>
  <c r="L167" i="3"/>
  <c r="L167" i="2" l="1"/>
  <c r="L163" i="2"/>
  <c r="L159" i="2"/>
  <c r="L155" i="2"/>
  <c r="L169" i="2"/>
  <c r="L152" i="2"/>
  <c r="L146" i="2"/>
  <c r="L142" i="2"/>
  <c r="L138" i="2"/>
  <c r="L134" i="2"/>
  <c r="L130" i="2"/>
  <c r="L166" i="2"/>
  <c r="L161" i="2"/>
  <c r="L144" i="2"/>
  <c r="L129" i="2"/>
  <c r="L160" i="2"/>
  <c r="L158" i="2"/>
  <c r="L114" i="2"/>
  <c r="L128" i="2"/>
  <c r="L89" i="2"/>
  <c r="L147" i="2"/>
  <c r="L111" i="2"/>
  <c r="L104" i="3"/>
  <c r="L104" i="2" s="1"/>
  <c r="L105" i="2"/>
  <c r="L99" i="2"/>
  <c r="L80" i="2"/>
  <c r="L125" i="2"/>
  <c r="L98" i="2"/>
  <c r="L165" i="2"/>
  <c r="L141" i="2"/>
  <c r="L109" i="2"/>
  <c r="L101" i="2"/>
  <c r="L71" i="2"/>
  <c r="L67" i="2"/>
  <c r="L63" i="2"/>
  <c r="L7" i="2"/>
  <c r="L117" i="2"/>
  <c r="L107" i="2"/>
  <c r="L58" i="2"/>
  <c r="L54" i="2"/>
  <c r="L50" i="2"/>
  <c r="L45" i="3"/>
  <c r="L45" i="2" s="1"/>
  <c r="L46" i="2"/>
  <c r="L20" i="2"/>
  <c r="L118" i="2"/>
  <c r="L96" i="2"/>
  <c r="L85" i="2"/>
  <c r="L13" i="2"/>
  <c r="L162" i="2"/>
  <c r="L150" i="2"/>
  <c r="L87" i="2"/>
  <c r="L69" i="2"/>
  <c r="L47" i="2"/>
  <c r="L43" i="2"/>
  <c r="L100" i="2"/>
  <c r="L90" i="2"/>
  <c r="L53" i="2"/>
  <c r="L48" i="2"/>
  <c r="L17" i="2"/>
  <c r="L133" i="2"/>
  <c r="L108" i="2"/>
  <c r="L64" i="2"/>
  <c r="L38" i="2"/>
  <c r="L168" i="2"/>
  <c r="L135" i="2"/>
  <c r="L91" i="2"/>
  <c r="L41" i="2"/>
  <c r="L12" i="2"/>
  <c r="L157" i="2"/>
  <c r="L102" i="2"/>
  <c r="L86" i="2"/>
  <c r="L51" i="2"/>
  <c r="L29" i="2"/>
  <c r="L124" i="2"/>
  <c r="L103" i="2"/>
  <c r="L36" i="2"/>
  <c r="L34" i="2"/>
  <c r="L9" i="2"/>
  <c r="L92" i="2"/>
  <c r="L70" i="2"/>
  <c r="L22" i="2"/>
  <c r="L79" i="2"/>
  <c r="L78" i="2"/>
  <c r="L73" i="2"/>
  <c r="L44" i="2"/>
  <c r="L35" i="2"/>
  <c r="L156" i="2"/>
  <c r="L110" i="2"/>
  <c r="L131" i="2"/>
  <c r="L119" i="2"/>
  <c r="L106" i="2"/>
  <c r="L94" i="2"/>
  <c r="L18" i="2"/>
  <c r="L136" i="2"/>
  <c r="L123" i="2"/>
  <c r="L82" i="3"/>
  <c r="L82" i="2" s="1"/>
  <c r="L83" i="2"/>
  <c r="L25" i="2"/>
  <c r="L24" i="3"/>
  <c r="L24" i="2" s="1"/>
  <c r="L66" i="2"/>
  <c r="L164" i="2"/>
  <c r="L75" i="2"/>
  <c r="L57" i="2"/>
  <c r="L21" i="2"/>
  <c r="L14" i="2"/>
  <c r="L77" i="2"/>
  <c r="L23" i="2"/>
  <c r="L126" i="3"/>
  <c r="L126" i="2" s="1"/>
  <c r="L127" i="2"/>
  <c r="L120" i="2"/>
  <c r="L55" i="2"/>
  <c r="L33" i="2"/>
  <c r="L31" i="2"/>
  <c r="L132" i="2"/>
  <c r="L3" i="3"/>
  <c r="L3" i="2" s="1"/>
  <c r="L4" i="2"/>
  <c r="L122" i="2"/>
  <c r="L121" i="2"/>
  <c r="L62" i="2"/>
  <c r="L68" i="2"/>
  <c r="L32" i="2"/>
  <c r="L95" i="2"/>
  <c r="L139" i="2"/>
  <c r="L56" i="2"/>
  <c r="L6" i="2"/>
  <c r="L10" i="2"/>
  <c r="L137" i="2"/>
  <c r="L40" i="2"/>
  <c r="L153" i="2"/>
  <c r="L93" i="2"/>
  <c r="L84" i="2"/>
  <c r="L27" i="2"/>
  <c r="L11" i="2"/>
  <c r="L143" i="2"/>
  <c r="L39" i="2"/>
  <c r="L5" i="2"/>
  <c r="L49" i="2"/>
  <c r="L30" i="2"/>
  <c r="L112" i="2"/>
  <c r="L88" i="2"/>
  <c r="L72" i="2"/>
  <c r="L97" i="2"/>
  <c r="L81" i="2"/>
  <c r="L113" i="2"/>
  <c r="L154" i="2"/>
  <c r="L19" i="2"/>
  <c r="L26" i="2"/>
  <c r="L28" i="2"/>
  <c r="L52" i="2"/>
  <c r="L149" i="2"/>
  <c r="L148" i="3"/>
  <c r="L148" i="2" s="1"/>
  <c r="L16" i="2"/>
  <c r="L42" i="2"/>
  <c r="L145" i="2"/>
  <c r="L37" i="2"/>
  <c r="L116" i="2"/>
  <c r="L115" i="2"/>
  <c r="L60" i="3"/>
  <c r="L60" i="2" s="1"/>
  <c r="L61" i="2"/>
  <c r="L140" i="2"/>
  <c r="L65" i="2"/>
  <c r="L8" i="2"/>
  <c r="L151" i="2"/>
  <c r="L15" i="2"/>
  <c r="L74" i="2"/>
  <c r="L76" i="2"/>
  <c r="BI169" i="2"/>
  <c r="BI165" i="2"/>
  <c r="BI161" i="2"/>
  <c r="BI157" i="2"/>
  <c r="BI164" i="2"/>
  <c r="BI159" i="2"/>
  <c r="BI154" i="2"/>
  <c r="BI150" i="2"/>
  <c r="BI144" i="2"/>
  <c r="BI140" i="2"/>
  <c r="BI136" i="2"/>
  <c r="BI132" i="2"/>
  <c r="BI128" i="2"/>
  <c r="BI153" i="2"/>
  <c r="BI155" i="2"/>
  <c r="BI139" i="2"/>
  <c r="BI115" i="2"/>
  <c r="BI166" i="2"/>
  <c r="BI134" i="2"/>
  <c r="BI129" i="2"/>
  <c r="BI152" i="2"/>
  <c r="BI131" i="2"/>
  <c r="BI104" i="3"/>
  <c r="BI104" i="2" s="1"/>
  <c r="BI105" i="2"/>
  <c r="BI138" i="2"/>
  <c r="BI123" i="2"/>
  <c r="BI114" i="2"/>
  <c r="BI95" i="2"/>
  <c r="BI78" i="2"/>
  <c r="BI74" i="2"/>
  <c r="BI148" i="3"/>
  <c r="BI148" i="2" s="1"/>
  <c r="BI149" i="2"/>
  <c r="BI137" i="2"/>
  <c r="BI101" i="2"/>
  <c r="BI89" i="2"/>
  <c r="BI86" i="2"/>
  <c r="BI44" i="2"/>
  <c r="BI40" i="2"/>
  <c r="BI36" i="2"/>
  <c r="BI32" i="2"/>
  <c r="BI28" i="2"/>
  <c r="BI3" i="3"/>
  <c r="BI3" i="2" s="1"/>
  <c r="BI4" i="2"/>
  <c r="BI160" i="2"/>
  <c r="BI113" i="2"/>
  <c r="BI81" i="2"/>
  <c r="BI69" i="2"/>
  <c r="BI65" i="2"/>
  <c r="BI61" i="2"/>
  <c r="BI60" i="3"/>
  <c r="BI60" i="2" s="1"/>
  <c r="BI17" i="2"/>
  <c r="BI146" i="2"/>
  <c r="BI145" i="2"/>
  <c r="BI56" i="2"/>
  <c r="BI52" i="2"/>
  <c r="BI48" i="2"/>
  <c r="BI10" i="2"/>
  <c r="BI135" i="2"/>
  <c r="BI109" i="2"/>
  <c r="BI98" i="2"/>
  <c r="BI91" i="2"/>
  <c r="BI162" i="2"/>
  <c r="BI121" i="2"/>
  <c r="BI58" i="2"/>
  <c r="BI53" i="2"/>
  <c r="BI39" i="2"/>
  <c r="BI167" i="2"/>
  <c r="BI133" i="2"/>
  <c r="BI124" i="2"/>
  <c r="BI62" i="2"/>
  <c r="BI54" i="2"/>
  <c r="BI37" i="2"/>
  <c r="BI30" i="2"/>
  <c r="BI143" i="2"/>
  <c r="BI117" i="2"/>
  <c r="BI22" i="2"/>
  <c r="BI19" i="2"/>
  <c r="BI13" i="2"/>
  <c r="BI49" i="2"/>
  <c r="BI27" i="2"/>
  <c r="BI24" i="3"/>
  <c r="BI24" i="2" s="1"/>
  <c r="BI25" i="2"/>
  <c r="BI110" i="2"/>
  <c r="BI107" i="2"/>
  <c r="BI103" i="2"/>
  <c r="BI100" i="2"/>
  <c r="BI66" i="2"/>
  <c r="BI94" i="2"/>
  <c r="BI168" i="2"/>
  <c r="BI158" i="2"/>
  <c r="BI51" i="2"/>
  <c r="BI5" i="2"/>
  <c r="BI67" i="2"/>
  <c r="BI96" i="2"/>
  <c r="BI85" i="2"/>
  <c r="BI75" i="2"/>
  <c r="BI50" i="2"/>
  <c r="BI82" i="3"/>
  <c r="BI82" i="2" s="1"/>
  <c r="BI83" i="2"/>
  <c r="BI55" i="2"/>
  <c r="BI29" i="2"/>
  <c r="BI15" i="2"/>
  <c r="BI125" i="2"/>
  <c r="BI106" i="2"/>
  <c r="BI33" i="2"/>
  <c r="BI23" i="2"/>
  <c r="BI11" i="2"/>
  <c r="BI156" i="2"/>
  <c r="BI88" i="2"/>
  <c r="BI31" i="2"/>
  <c r="BI14" i="2"/>
  <c r="BI68" i="2"/>
  <c r="BI147" i="2"/>
  <c r="BI108" i="2"/>
  <c r="BI73" i="2"/>
  <c r="BI35" i="2"/>
  <c r="BI16" i="2"/>
  <c r="BI9" i="2"/>
  <c r="BI151" i="2"/>
  <c r="BI84" i="2"/>
  <c r="BI142" i="2"/>
  <c r="BI141" i="2"/>
  <c r="BI57" i="2"/>
  <c r="BI77" i="2"/>
  <c r="BI119" i="2"/>
  <c r="BI47" i="2"/>
  <c r="BI72" i="2"/>
  <c r="BI71" i="2"/>
  <c r="BI6" i="2"/>
  <c r="BI93" i="2"/>
  <c r="BI12" i="2"/>
  <c r="BI42" i="2"/>
  <c r="BI118" i="2"/>
  <c r="BI21" i="2"/>
  <c r="BI120" i="2"/>
  <c r="BI45" i="3"/>
  <c r="BI45" i="2" s="1"/>
  <c r="BI46" i="2"/>
  <c r="BI20" i="2"/>
  <c r="BI111" i="2"/>
  <c r="BI63" i="2"/>
  <c r="BI130" i="2"/>
  <c r="BI7" i="2"/>
  <c r="BI163" i="2"/>
  <c r="BI64" i="2"/>
  <c r="BI41" i="2"/>
  <c r="BI92" i="2"/>
  <c r="BI70" i="2"/>
  <c r="BI126" i="3"/>
  <c r="BI126" i="2" s="1"/>
  <c r="BI127" i="2"/>
  <c r="BI90" i="2"/>
  <c r="BI38" i="2"/>
  <c r="BI112" i="2"/>
  <c r="BI43" i="2"/>
  <c r="BI116" i="2"/>
  <c r="BI34" i="2"/>
  <c r="BI122" i="2"/>
  <c r="BI76" i="2"/>
  <c r="BI102" i="2"/>
  <c r="BI97" i="2"/>
  <c r="BI80" i="2"/>
  <c r="BI26" i="2"/>
  <c r="BI87" i="2"/>
  <c r="BI8" i="2"/>
  <c r="BI79" i="2"/>
  <c r="BI18" i="2"/>
  <c r="BI99" i="2"/>
  <c r="P166" i="2"/>
  <c r="P162" i="2"/>
  <c r="P158" i="2"/>
  <c r="P165" i="2"/>
  <c r="P151" i="2"/>
  <c r="P153" i="2"/>
  <c r="P145" i="2"/>
  <c r="P141" i="2"/>
  <c r="P137" i="2"/>
  <c r="P133" i="2"/>
  <c r="P129" i="2"/>
  <c r="P156" i="2"/>
  <c r="P169" i="2"/>
  <c r="P134" i="2"/>
  <c r="P149" i="2"/>
  <c r="P148" i="3"/>
  <c r="P148" i="2" s="1"/>
  <c r="P140" i="2"/>
  <c r="P125" i="2"/>
  <c r="P110" i="2"/>
  <c r="P142" i="2"/>
  <c r="P118" i="2"/>
  <c r="P97" i="2"/>
  <c r="P132" i="2"/>
  <c r="P108" i="2"/>
  <c r="P130" i="2"/>
  <c r="P113" i="2"/>
  <c r="P96" i="2"/>
  <c r="P79" i="2"/>
  <c r="P75" i="2"/>
  <c r="P131" i="2"/>
  <c r="P117" i="2"/>
  <c r="P81" i="2"/>
  <c r="P41" i="2"/>
  <c r="P37" i="2"/>
  <c r="P33" i="2"/>
  <c r="P29" i="2"/>
  <c r="P24" i="3"/>
  <c r="P24" i="2" s="1"/>
  <c r="P25" i="2"/>
  <c r="P19" i="2"/>
  <c r="P168" i="2"/>
  <c r="P70" i="2"/>
  <c r="P66" i="2"/>
  <c r="P62" i="2"/>
  <c r="P12" i="2"/>
  <c r="P160" i="2"/>
  <c r="P116" i="2"/>
  <c r="P102" i="2"/>
  <c r="P57" i="2"/>
  <c r="P53" i="2"/>
  <c r="P49" i="2"/>
  <c r="P5" i="2"/>
  <c r="P119" i="2"/>
  <c r="P73" i="2"/>
  <c r="P65" i="2"/>
  <c r="P58" i="2"/>
  <c r="P39" i="2"/>
  <c r="P147" i="2"/>
  <c r="P114" i="2"/>
  <c r="P11" i="2"/>
  <c r="P34" i="2"/>
  <c r="P14" i="2"/>
  <c r="P163" i="2"/>
  <c r="P157" i="2"/>
  <c r="P122" i="2"/>
  <c r="P109" i="2"/>
  <c r="P101" i="2"/>
  <c r="P98" i="2"/>
  <c r="P90" i="2"/>
  <c r="P86" i="2"/>
  <c r="P77" i="2"/>
  <c r="P60" i="3"/>
  <c r="P60" i="2" s="1"/>
  <c r="P61" i="2"/>
  <c r="P154" i="2"/>
  <c r="P136" i="2"/>
  <c r="P103" i="2"/>
  <c r="P100" i="2"/>
  <c r="P71" i="2"/>
  <c r="P31" i="2"/>
  <c r="P21" i="2"/>
  <c r="P15" i="2"/>
  <c r="P167" i="2"/>
  <c r="P146" i="2"/>
  <c r="P143" i="2"/>
  <c r="P115" i="2"/>
  <c r="P48" i="2"/>
  <c r="P43" i="2"/>
  <c r="P7" i="2"/>
  <c r="P152" i="2"/>
  <c r="P105" i="2"/>
  <c r="P104" i="3"/>
  <c r="P104" i="2" s="1"/>
  <c r="P45" i="3"/>
  <c r="P45" i="2" s="1"/>
  <c r="P46" i="2"/>
  <c r="P44" i="2"/>
  <c r="P155" i="2"/>
  <c r="P89" i="2"/>
  <c r="P69" i="2"/>
  <c r="P68" i="2"/>
  <c r="P56" i="2"/>
  <c r="P138" i="2"/>
  <c r="P85" i="2"/>
  <c r="P32" i="2"/>
  <c r="P94" i="2"/>
  <c r="P54" i="2"/>
  <c r="P10" i="2"/>
  <c r="P22" i="2"/>
  <c r="P78" i="2"/>
  <c r="P40" i="2"/>
  <c r="P26" i="2"/>
  <c r="P18" i="2"/>
  <c r="P120" i="2"/>
  <c r="P99" i="2"/>
  <c r="P23" i="2"/>
  <c r="P4" i="2"/>
  <c r="P3" i="3"/>
  <c r="P3" i="2" s="1"/>
  <c r="P123" i="2"/>
  <c r="P121" i="2"/>
  <c r="P91" i="2"/>
  <c r="P64" i="2"/>
  <c r="P35" i="2"/>
  <c r="P16" i="2"/>
  <c r="P52" i="2"/>
  <c r="P124" i="2"/>
  <c r="P82" i="3"/>
  <c r="P82" i="2" s="1"/>
  <c r="P83" i="2"/>
  <c r="P80" i="2"/>
  <c r="P27" i="2"/>
  <c r="P95" i="2"/>
  <c r="P51" i="2"/>
  <c r="P6" i="2"/>
  <c r="P55" i="2"/>
  <c r="P9" i="2"/>
  <c r="P159" i="2"/>
  <c r="P135" i="2"/>
  <c r="P92" i="2"/>
  <c r="P88" i="2"/>
  <c r="P13" i="2"/>
  <c r="P139" i="2"/>
  <c r="P36" i="2"/>
  <c r="P144" i="2"/>
  <c r="P126" i="3"/>
  <c r="P126" i="2" s="1"/>
  <c r="P127" i="2"/>
  <c r="P87" i="2"/>
  <c r="P30" i="2"/>
  <c r="P128" i="2"/>
  <c r="P76" i="2"/>
  <c r="P67" i="2"/>
  <c r="P93" i="2"/>
  <c r="P84" i="2"/>
  <c r="P72" i="2"/>
  <c r="P50" i="2"/>
  <c r="P20" i="2"/>
  <c r="P63" i="2"/>
  <c r="P164" i="2"/>
  <c r="P107" i="2"/>
  <c r="P150" i="2"/>
  <c r="P112" i="2"/>
  <c r="P111" i="2"/>
  <c r="P106" i="2"/>
  <c r="P17" i="2"/>
  <c r="P161" i="2"/>
  <c r="P42" i="2"/>
  <c r="P47" i="2"/>
  <c r="P38" i="2"/>
  <c r="P8" i="2"/>
  <c r="P28" i="2"/>
  <c r="P74" i="2"/>
  <c r="AT168" i="2"/>
  <c r="AT164" i="2"/>
  <c r="AT160" i="2"/>
  <c r="AT156" i="2"/>
  <c r="AT166" i="2"/>
  <c r="AT161" i="2"/>
  <c r="AT153" i="2"/>
  <c r="AT163" i="2"/>
  <c r="AT149" i="2"/>
  <c r="AT148" i="3"/>
  <c r="AT148" i="2" s="1"/>
  <c r="AT158" i="2"/>
  <c r="AT147" i="2"/>
  <c r="AT143" i="2"/>
  <c r="AT139" i="2"/>
  <c r="AT135" i="2"/>
  <c r="AT131" i="2"/>
  <c r="AT126" i="3"/>
  <c r="AT126" i="2" s="1"/>
  <c r="AT127" i="2"/>
  <c r="AT106" i="2"/>
  <c r="AT104" i="3"/>
  <c r="AT104" i="2" s="1"/>
  <c r="AT105" i="2"/>
  <c r="AT157" i="2"/>
  <c r="AT146" i="2"/>
  <c r="AT141" i="2"/>
  <c r="AT136" i="2"/>
  <c r="AT169" i="2"/>
  <c r="AT159" i="2"/>
  <c r="AT132" i="2"/>
  <c r="AT125" i="2"/>
  <c r="AT108" i="2"/>
  <c r="AT93" i="2"/>
  <c r="AT130" i="2"/>
  <c r="AT144" i="2"/>
  <c r="AT122" i="2"/>
  <c r="AT120" i="2"/>
  <c r="AT92" i="2"/>
  <c r="AT81" i="2"/>
  <c r="AT77" i="2"/>
  <c r="AT73" i="2"/>
  <c r="AT162" i="2"/>
  <c r="AT118" i="2"/>
  <c r="AT43" i="2"/>
  <c r="AT39" i="2"/>
  <c r="AT35" i="2"/>
  <c r="AT31" i="2"/>
  <c r="AT27" i="2"/>
  <c r="AT9" i="2"/>
  <c r="AT154" i="2"/>
  <c r="AT78" i="2"/>
  <c r="AT74" i="2"/>
  <c r="AT68" i="2"/>
  <c r="AT64" i="2"/>
  <c r="AT22" i="2"/>
  <c r="AT94" i="2"/>
  <c r="AT55" i="2"/>
  <c r="AT51" i="2"/>
  <c r="AT47" i="2"/>
  <c r="AT15" i="2"/>
  <c r="AT155" i="2"/>
  <c r="AT124" i="2"/>
  <c r="AT96" i="2"/>
  <c r="AT66" i="2"/>
  <c r="AT60" i="3"/>
  <c r="AT60" i="2" s="1"/>
  <c r="AT61" i="2"/>
  <c r="AT145" i="2"/>
  <c r="AT113" i="2"/>
  <c r="AT111" i="2"/>
  <c r="AT71" i="2"/>
  <c r="AT50" i="2"/>
  <c r="AT128" i="2"/>
  <c r="AT89" i="2"/>
  <c r="AT98" i="2"/>
  <c r="AT21" i="2"/>
  <c r="AT5" i="2"/>
  <c r="AT101" i="2"/>
  <c r="AT48" i="2"/>
  <c r="AT26" i="2"/>
  <c r="AT18" i="2"/>
  <c r="AT165" i="2"/>
  <c r="AT112" i="2"/>
  <c r="AT103" i="2"/>
  <c r="AT102" i="2"/>
  <c r="AT100" i="2"/>
  <c r="AT99" i="2"/>
  <c r="AT86" i="2"/>
  <c r="AT63" i="2"/>
  <c r="AT38" i="2"/>
  <c r="AT24" i="3"/>
  <c r="AT24" i="2" s="1"/>
  <c r="AT25" i="2"/>
  <c r="AT150" i="2"/>
  <c r="AT84" i="2"/>
  <c r="AT70" i="2"/>
  <c r="AT142" i="2"/>
  <c r="AT115" i="2"/>
  <c r="AT67" i="2"/>
  <c r="AT57" i="2"/>
  <c r="AT44" i="2"/>
  <c r="AT42" i="2"/>
  <c r="AT167" i="2"/>
  <c r="AT95" i="2"/>
  <c r="AT36" i="2"/>
  <c r="AT32" i="2"/>
  <c r="AT17" i="2"/>
  <c r="AT116" i="2"/>
  <c r="AT140" i="2"/>
  <c r="AT138" i="2"/>
  <c r="AT91" i="2"/>
  <c r="AT65" i="2"/>
  <c r="AT53" i="2"/>
  <c r="AT90" i="2"/>
  <c r="AT10" i="2"/>
  <c r="AT109" i="2"/>
  <c r="AT107" i="2"/>
  <c r="AT30" i="2"/>
  <c r="AT19" i="2"/>
  <c r="AT8" i="2"/>
  <c r="AT41" i="2"/>
  <c r="AT114" i="2"/>
  <c r="AT37" i="2"/>
  <c r="AT34" i="2"/>
  <c r="AT28" i="2"/>
  <c r="AT6" i="2"/>
  <c r="AT79" i="2"/>
  <c r="AT52" i="2"/>
  <c r="AT29" i="2"/>
  <c r="AT23" i="2"/>
  <c r="AT137" i="2"/>
  <c r="AT110" i="2"/>
  <c r="AT58" i="2"/>
  <c r="AT69" i="2"/>
  <c r="AT14" i="2"/>
  <c r="AT133" i="2"/>
  <c r="AT123" i="2"/>
  <c r="AT88" i="2"/>
  <c r="AT75" i="2"/>
  <c r="AT76" i="2"/>
  <c r="AT33" i="2"/>
  <c r="AT16" i="2"/>
  <c r="AT119" i="2"/>
  <c r="AT129" i="2"/>
  <c r="AT7" i="2"/>
  <c r="AT134" i="2"/>
  <c r="AT82" i="3"/>
  <c r="AT82" i="2" s="1"/>
  <c r="AT83" i="2"/>
  <c r="AT80" i="2"/>
  <c r="AT56" i="2"/>
  <c r="AT3" i="3"/>
  <c r="AT3" i="2" s="1"/>
  <c r="AT4" i="2"/>
  <c r="AT12" i="2"/>
  <c r="AT40" i="2"/>
  <c r="AT151" i="2"/>
  <c r="AT13" i="2"/>
  <c r="AT49" i="2"/>
  <c r="AT121" i="2"/>
  <c r="AT97" i="2"/>
  <c r="AT117" i="2"/>
  <c r="AT11" i="2"/>
  <c r="AT72" i="2"/>
  <c r="AT54" i="2"/>
  <c r="AT85" i="2"/>
  <c r="AT45" i="3"/>
  <c r="AT45" i="2" s="1"/>
  <c r="AT46" i="2"/>
  <c r="AT20" i="2"/>
  <c r="AT152" i="2"/>
  <c r="AT62" i="2"/>
  <c r="AT87" i="2"/>
  <c r="BM165" i="2"/>
  <c r="BM160" i="2"/>
  <c r="BM155" i="2"/>
  <c r="BM153" i="2"/>
  <c r="BM148" i="3"/>
  <c r="BM148" i="2" s="1"/>
  <c r="BM149" i="2"/>
  <c r="BM164" i="2"/>
  <c r="BM123" i="2"/>
  <c r="BM119" i="2"/>
  <c r="BM115" i="2"/>
  <c r="BM111" i="2"/>
  <c r="BM107" i="2"/>
  <c r="BM159" i="2"/>
  <c r="BM147" i="2"/>
  <c r="BM143" i="2"/>
  <c r="BM139" i="2"/>
  <c r="BM135" i="2"/>
  <c r="BM131" i="2"/>
  <c r="BM126" i="3"/>
  <c r="BM126" i="2" s="1"/>
  <c r="BM127" i="2"/>
  <c r="BM163" i="2"/>
  <c r="BM154" i="2"/>
  <c r="BM145" i="2"/>
  <c r="BM140" i="2"/>
  <c r="BM130" i="2"/>
  <c r="BM162" i="2"/>
  <c r="BM104" i="3"/>
  <c r="BM104" i="2" s="1"/>
  <c r="BM105" i="2"/>
  <c r="BM100" i="2"/>
  <c r="BM96" i="2"/>
  <c r="BM92" i="2"/>
  <c r="BM88" i="2"/>
  <c r="BM133" i="2"/>
  <c r="BM109" i="2"/>
  <c r="BM94" i="2"/>
  <c r="BM86" i="2"/>
  <c r="BM116" i="2"/>
  <c r="BM128" i="2"/>
  <c r="BM93" i="2"/>
  <c r="BM136" i="2"/>
  <c r="BM122" i="2"/>
  <c r="BM76" i="2"/>
  <c r="BM16" i="2"/>
  <c r="BM151" i="2"/>
  <c r="BM77" i="2"/>
  <c r="BM75" i="2"/>
  <c r="BM43" i="2"/>
  <c r="BM39" i="2"/>
  <c r="BM35" i="2"/>
  <c r="BM31" i="2"/>
  <c r="BM27" i="2"/>
  <c r="BM9" i="2"/>
  <c r="BM156" i="2"/>
  <c r="BM144" i="2"/>
  <c r="BM99" i="2"/>
  <c r="BM68" i="2"/>
  <c r="BM64" i="2"/>
  <c r="BM22" i="2"/>
  <c r="BM121" i="2"/>
  <c r="BM97" i="2"/>
  <c r="BM70" i="2"/>
  <c r="BM65" i="2"/>
  <c r="BM142" i="2"/>
  <c r="BM54" i="2"/>
  <c r="BM49" i="2"/>
  <c r="BM21" i="2"/>
  <c r="BM11" i="2"/>
  <c r="BM87" i="2"/>
  <c r="BM146" i="2"/>
  <c r="BM72" i="2"/>
  <c r="BM51" i="2"/>
  <c r="BM44" i="2"/>
  <c r="BM169" i="2"/>
  <c r="BM152" i="2"/>
  <c r="BM81" i="2"/>
  <c r="BM69" i="2"/>
  <c r="BM7" i="2"/>
  <c r="BM80" i="2"/>
  <c r="BM79" i="2"/>
  <c r="BM46" i="2"/>
  <c r="BM45" i="3"/>
  <c r="BM45" i="2" s="1"/>
  <c r="BM41" i="2"/>
  <c r="BM12" i="2"/>
  <c r="BM52" i="2"/>
  <c r="BM167" i="2"/>
  <c r="BM168" i="2"/>
  <c r="BM158" i="2"/>
  <c r="BM157" i="2"/>
  <c r="BM90" i="2"/>
  <c r="BM63" i="2"/>
  <c r="BM38" i="2"/>
  <c r="BM125" i="2"/>
  <c r="BM62" i="2"/>
  <c r="BM50" i="2"/>
  <c r="BM37" i="2"/>
  <c r="BM29" i="2"/>
  <c r="BM138" i="2"/>
  <c r="BM85" i="2"/>
  <c r="BM71" i="2"/>
  <c r="BM60" i="3"/>
  <c r="BM60" i="2" s="1"/>
  <c r="BM61" i="2"/>
  <c r="BM40" i="2"/>
  <c r="BM28" i="2"/>
  <c r="BM5" i="2"/>
  <c r="BM34" i="2"/>
  <c r="BM78" i="2"/>
  <c r="BM23" i="2"/>
  <c r="BM6" i="2"/>
  <c r="BM20" i="2"/>
  <c r="BM103" i="2"/>
  <c r="BM84" i="2"/>
  <c r="BM73" i="2"/>
  <c r="BM55" i="2"/>
  <c r="BM42" i="2"/>
  <c r="BM141" i="2"/>
  <c r="BM110" i="2"/>
  <c r="BM66" i="2"/>
  <c r="BM33" i="2"/>
  <c r="BM18" i="2"/>
  <c r="BM102" i="2"/>
  <c r="BM91" i="2"/>
  <c r="BM166" i="2"/>
  <c r="BM150" i="2"/>
  <c r="BM74" i="2"/>
  <c r="BM47" i="2"/>
  <c r="BM15" i="2"/>
  <c r="BM106" i="2"/>
  <c r="BM137" i="2"/>
  <c r="BM129" i="2"/>
  <c r="BM57" i="2"/>
  <c r="BM120" i="2"/>
  <c r="BM134" i="2"/>
  <c r="BM82" i="3"/>
  <c r="BM82" i="2" s="1"/>
  <c r="BM83" i="2"/>
  <c r="BM30" i="2"/>
  <c r="BM124" i="2"/>
  <c r="BM114" i="2"/>
  <c r="BM58" i="2"/>
  <c r="BM36" i="2"/>
  <c r="BM161" i="2"/>
  <c r="BM13" i="2"/>
  <c r="BM32" i="2"/>
  <c r="BM14" i="2"/>
  <c r="BM56" i="2"/>
  <c r="BM95" i="2"/>
  <c r="BM26" i="2"/>
  <c r="BM89" i="2"/>
  <c r="BM48" i="2"/>
  <c r="BM67" i="2"/>
  <c r="BM8" i="2"/>
  <c r="BM118" i="2"/>
  <c r="BM101" i="2"/>
  <c r="BM4" i="2"/>
  <c r="BM3" i="3"/>
  <c r="BM3" i="2" s="1"/>
  <c r="BM108" i="2"/>
  <c r="BM10" i="2"/>
  <c r="BM98" i="2"/>
  <c r="BM24" i="3"/>
  <c r="BM24" i="2" s="1"/>
  <c r="BM25" i="2"/>
  <c r="BM132" i="2"/>
  <c r="BM19" i="2"/>
  <c r="BM112" i="2"/>
  <c r="BM17" i="2"/>
  <c r="BM113" i="2"/>
  <c r="BM53" i="2"/>
  <c r="BM117" i="2"/>
  <c r="AM165" i="2"/>
  <c r="AM164" i="2"/>
  <c r="AM161" i="2"/>
  <c r="AM159" i="2"/>
  <c r="AM153" i="2"/>
  <c r="AM124" i="2"/>
  <c r="AM120" i="2"/>
  <c r="AM116" i="2"/>
  <c r="AM112" i="2"/>
  <c r="AM108" i="2"/>
  <c r="AM134" i="2"/>
  <c r="AM129" i="2"/>
  <c r="AM140" i="2"/>
  <c r="AM125" i="2"/>
  <c r="AM110" i="2"/>
  <c r="AM156" i="2"/>
  <c r="AM152" i="2"/>
  <c r="AM150" i="2"/>
  <c r="AM147" i="2"/>
  <c r="AM133" i="2"/>
  <c r="AM111" i="2"/>
  <c r="AM109" i="2"/>
  <c r="AM96" i="2"/>
  <c r="AM151" i="2"/>
  <c r="AM87" i="2"/>
  <c r="AM82" i="3"/>
  <c r="AM82" i="2" s="1"/>
  <c r="AM83" i="2"/>
  <c r="AM135" i="2"/>
  <c r="AM166" i="2"/>
  <c r="AM132" i="2"/>
  <c r="AM119" i="2"/>
  <c r="AM93" i="2"/>
  <c r="AM81" i="2"/>
  <c r="AM18" i="2"/>
  <c r="AM142" i="2"/>
  <c r="AM121" i="2"/>
  <c r="AM11" i="2"/>
  <c r="AM154" i="2"/>
  <c r="AM44" i="2"/>
  <c r="AM40" i="2"/>
  <c r="AM36" i="2"/>
  <c r="AM32" i="2"/>
  <c r="AM28" i="2"/>
  <c r="AM3" i="3"/>
  <c r="AM3" i="2" s="1"/>
  <c r="AM4" i="2"/>
  <c r="AM168" i="2"/>
  <c r="AM148" i="3"/>
  <c r="AM148" i="2" s="1"/>
  <c r="AM149" i="2"/>
  <c r="AM127" i="2"/>
  <c r="AM126" i="3"/>
  <c r="AM126" i="2" s="1"/>
  <c r="AM123" i="2"/>
  <c r="AM107" i="2"/>
  <c r="AM65" i="2"/>
  <c r="AM58" i="2"/>
  <c r="AM53" i="2"/>
  <c r="AM39" i="2"/>
  <c r="AM117" i="2"/>
  <c r="AM100" i="2"/>
  <c r="AM73" i="2"/>
  <c r="AM138" i="2"/>
  <c r="AM106" i="2"/>
  <c r="AM90" i="2"/>
  <c r="AM34" i="2"/>
  <c r="AM29" i="2"/>
  <c r="AM14" i="2"/>
  <c r="AM95" i="2"/>
  <c r="AM78" i="2"/>
  <c r="AM51" i="2"/>
  <c r="AM9" i="2"/>
  <c r="AM64" i="2"/>
  <c r="AM92" i="2"/>
  <c r="AM88" i="2"/>
  <c r="AM46" i="2"/>
  <c r="AM45" i="3"/>
  <c r="AM45" i="2" s="1"/>
  <c r="AM41" i="2"/>
  <c r="AM12" i="2"/>
  <c r="AM137" i="2"/>
  <c r="AM76" i="2"/>
  <c r="AM26" i="2"/>
  <c r="AM21" i="2"/>
  <c r="AM17" i="2"/>
  <c r="AM118" i="2"/>
  <c r="AM113" i="2"/>
  <c r="AM49" i="2"/>
  <c r="AM23" i="2"/>
  <c r="AM19" i="2"/>
  <c r="AM15" i="2"/>
  <c r="AM102" i="2"/>
  <c r="AM77" i="2"/>
  <c r="AM74" i="2"/>
  <c r="AM22" i="2"/>
  <c r="AM20" i="2"/>
  <c r="AM13" i="2"/>
  <c r="AM163" i="2"/>
  <c r="AM72" i="2"/>
  <c r="AM63" i="2"/>
  <c r="AM31" i="2"/>
  <c r="AM30" i="2"/>
  <c r="AM155" i="2"/>
  <c r="AM99" i="2"/>
  <c r="AM57" i="2"/>
  <c r="AM79" i="2"/>
  <c r="AM42" i="2"/>
  <c r="AM8" i="2"/>
  <c r="AM141" i="2"/>
  <c r="AM139" i="2"/>
  <c r="AM97" i="2"/>
  <c r="AM69" i="2"/>
  <c r="AM130" i="2"/>
  <c r="AM101" i="2"/>
  <c r="AM56" i="2"/>
  <c r="AM5" i="2"/>
  <c r="AM136" i="2"/>
  <c r="AM115" i="2"/>
  <c r="AM98" i="2"/>
  <c r="AM89" i="2"/>
  <c r="AM67" i="2"/>
  <c r="AM146" i="2"/>
  <c r="AM60" i="3"/>
  <c r="AM60" i="2" s="1"/>
  <c r="AM61" i="2"/>
  <c r="AM43" i="2"/>
  <c r="AM10" i="2"/>
  <c r="AM157" i="2"/>
  <c r="AM144" i="2"/>
  <c r="AM86" i="2"/>
  <c r="AM50" i="2"/>
  <c r="AM104" i="3"/>
  <c r="AM104" i="2" s="1"/>
  <c r="AM105" i="2"/>
  <c r="AM68" i="2"/>
  <c r="AM47" i="2"/>
  <c r="AM37" i="2"/>
  <c r="AM75" i="2"/>
  <c r="AM131" i="2"/>
  <c r="AM128" i="2"/>
  <c r="AM80" i="2"/>
  <c r="AM35" i="2"/>
  <c r="AM62" i="2"/>
  <c r="AM24" i="3"/>
  <c r="AM24" i="2" s="1"/>
  <c r="AM25" i="2"/>
  <c r="AM114" i="2"/>
  <c r="AM16" i="2"/>
  <c r="AM52" i="2"/>
  <c r="AM143" i="2"/>
  <c r="AM122" i="2"/>
  <c r="AM54" i="2"/>
  <c r="AM48" i="2"/>
  <c r="AM38" i="2"/>
  <c r="AM169" i="2"/>
  <c r="AM145" i="2"/>
  <c r="AM66" i="2"/>
  <c r="AM158" i="2"/>
  <c r="AM55" i="2"/>
  <c r="AM167" i="2"/>
  <c r="AM94" i="2"/>
  <c r="AM84" i="2"/>
  <c r="AM70" i="2"/>
  <c r="AM103" i="2"/>
  <c r="AM160" i="2"/>
  <c r="AM7" i="2"/>
  <c r="AM162" i="2"/>
  <c r="AM91" i="2"/>
  <c r="AM33" i="2"/>
  <c r="AM6" i="2"/>
  <c r="AM27" i="2"/>
  <c r="AM85" i="2"/>
  <c r="AM71" i="2"/>
  <c r="AF167" i="2"/>
  <c r="AF163" i="2"/>
  <c r="AF159" i="2"/>
  <c r="AF155" i="2"/>
  <c r="AF152" i="2"/>
  <c r="AF168" i="2"/>
  <c r="AF169" i="2"/>
  <c r="AF146" i="2"/>
  <c r="AF142" i="2"/>
  <c r="AF138" i="2"/>
  <c r="AF134" i="2"/>
  <c r="AF130" i="2"/>
  <c r="AF164" i="2"/>
  <c r="AF133" i="2"/>
  <c r="AF128" i="2"/>
  <c r="AF118" i="2"/>
  <c r="AF143" i="2"/>
  <c r="AF124" i="2"/>
  <c r="AF119" i="2"/>
  <c r="AF109" i="2"/>
  <c r="AF166" i="2"/>
  <c r="AF89" i="2"/>
  <c r="AF80" i="2"/>
  <c r="AF153" i="2"/>
  <c r="AF114" i="2"/>
  <c r="AF99" i="2"/>
  <c r="AF161" i="2"/>
  <c r="AF156" i="2"/>
  <c r="AF144" i="2"/>
  <c r="AF112" i="2"/>
  <c r="AF98" i="2"/>
  <c r="AF95" i="2"/>
  <c r="AF71" i="2"/>
  <c r="AF67" i="2"/>
  <c r="AF63" i="2"/>
  <c r="AF7" i="2"/>
  <c r="AF136" i="2"/>
  <c r="AF104" i="3"/>
  <c r="AF104" i="2" s="1"/>
  <c r="AF105" i="2"/>
  <c r="AF58" i="2"/>
  <c r="AF54" i="2"/>
  <c r="AF50" i="2"/>
  <c r="AF45" i="3"/>
  <c r="AF45" i="2" s="1"/>
  <c r="AF46" i="2"/>
  <c r="AF20" i="2"/>
  <c r="AF121" i="2"/>
  <c r="AF13" i="2"/>
  <c r="AF151" i="2"/>
  <c r="AF122" i="2"/>
  <c r="AF78" i="2"/>
  <c r="AF57" i="2"/>
  <c r="AF52" i="2"/>
  <c r="AF23" i="2"/>
  <c r="AF137" i="2"/>
  <c r="AF116" i="2"/>
  <c r="AF101" i="2"/>
  <c r="AF68" i="2"/>
  <c r="AF42" i="2"/>
  <c r="AF110" i="2"/>
  <c r="AF97" i="2"/>
  <c r="AF91" i="2"/>
  <c r="AF76" i="2"/>
  <c r="AF72" i="2"/>
  <c r="AF33" i="2"/>
  <c r="AF28" i="2"/>
  <c r="AF10" i="2"/>
  <c r="AF75" i="2"/>
  <c r="AF62" i="2"/>
  <c r="AF37" i="2"/>
  <c r="AF141" i="2"/>
  <c r="AF123" i="2"/>
  <c r="AF108" i="2"/>
  <c r="AF44" i="2"/>
  <c r="AF19" i="2"/>
  <c r="AF3" i="3"/>
  <c r="AF3" i="2" s="1"/>
  <c r="AF4" i="2"/>
  <c r="AF139" i="2"/>
  <c r="AF126" i="3"/>
  <c r="AF126" i="2" s="1"/>
  <c r="AF127" i="2"/>
  <c r="AF125" i="2"/>
  <c r="AF81" i="2"/>
  <c r="AF69" i="2"/>
  <c r="AF56" i="2"/>
  <c r="AF49" i="2"/>
  <c r="AF32" i="2"/>
  <c r="AF24" i="3"/>
  <c r="AF24" i="2" s="1"/>
  <c r="AF25" i="2"/>
  <c r="AF16" i="2"/>
  <c r="AF162" i="2"/>
  <c r="AF90" i="2"/>
  <c r="AF64" i="2"/>
  <c r="AF30" i="2"/>
  <c r="AF29" i="2"/>
  <c r="AF5" i="2"/>
  <c r="AF140" i="2"/>
  <c r="AF135" i="2"/>
  <c r="AF106" i="2"/>
  <c r="AF87" i="2"/>
  <c r="AF51" i="2"/>
  <c r="AF38" i="2"/>
  <c r="AF145" i="2"/>
  <c r="AF117" i="2"/>
  <c r="AF55" i="2"/>
  <c r="AF41" i="2"/>
  <c r="AF15" i="2"/>
  <c r="AF86" i="2"/>
  <c r="AF84" i="2"/>
  <c r="AF113" i="2"/>
  <c r="AF100" i="2"/>
  <c r="AF34" i="2"/>
  <c r="AF12" i="2"/>
  <c r="AF6" i="2"/>
  <c r="AF79" i="2"/>
  <c r="AF93" i="2"/>
  <c r="AF157" i="2"/>
  <c r="AF96" i="2"/>
  <c r="AF22" i="2"/>
  <c r="AF107" i="2"/>
  <c r="AF65" i="2"/>
  <c r="AF40" i="2"/>
  <c r="AF17" i="2"/>
  <c r="AF82" i="3"/>
  <c r="AF82" i="2" s="1"/>
  <c r="AF83" i="2"/>
  <c r="AF39" i="2"/>
  <c r="AF35" i="2"/>
  <c r="AF9" i="2"/>
  <c r="AF47" i="2"/>
  <c r="AF74" i="2"/>
  <c r="AF115" i="2"/>
  <c r="AF147" i="2"/>
  <c r="AF43" i="2"/>
  <c r="AF165" i="2"/>
  <c r="AF160" i="2"/>
  <c r="AF132" i="2"/>
  <c r="AF102" i="2"/>
  <c r="AF77" i="2"/>
  <c r="AF18" i="2"/>
  <c r="AF61" i="2"/>
  <c r="AF60" i="3"/>
  <c r="AF60" i="2" s="1"/>
  <c r="AF48" i="2"/>
  <c r="AF158" i="2"/>
  <c r="AF149" i="2"/>
  <c r="AF148" i="3"/>
  <c r="AF148" i="2" s="1"/>
  <c r="AF154" i="2"/>
  <c r="AF131" i="2"/>
  <c r="AF94" i="2"/>
  <c r="AF70" i="2"/>
  <c r="AF53" i="2"/>
  <c r="AF26" i="2"/>
  <c r="AF11" i="2"/>
  <c r="AF8" i="2"/>
  <c r="AF88" i="2"/>
  <c r="AF129" i="2"/>
  <c r="AF66" i="2"/>
  <c r="AF21" i="2"/>
  <c r="AF150" i="2"/>
  <c r="AF36" i="2"/>
  <c r="AF120" i="2"/>
  <c r="AF103" i="2"/>
  <c r="AF27" i="2"/>
  <c r="AF14" i="2"/>
  <c r="AF92" i="2"/>
  <c r="AF73" i="2"/>
  <c r="AF31" i="2"/>
  <c r="AF85" i="2"/>
  <c r="AF111" i="2"/>
  <c r="R166" i="2"/>
  <c r="R162" i="2"/>
  <c r="R158" i="2"/>
  <c r="R160" i="2"/>
  <c r="R155" i="2"/>
  <c r="R161" i="2"/>
  <c r="R156" i="2"/>
  <c r="R168" i="2"/>
  <c r="R154" i="2"/>
  <c r="R163" i="2"/>
  <c r="R124" i="2"/>
  <c r="R120" i="2"/>
  <c r="R116" i="2"/>
  <c r="R112" i="2"/>
  <c r="R108" i="2"/>
  <c r="R151" i="2"/>
  <c r="R125" i="2"/>
  <c r="R110" i="2"/>
  <c r="R159" i="2"/>
  <c r="R135" i="2"/>
  <c r="R111" i="2"/>
  <c r="R167" i="2"/>
  <c r="R145" i="2"/>
  <c r="R130" i="2"/>
  <c r="R137" i="2"/>
  <c r="R113" i="2"/>
  <c r="R96" i="2"/>
  <c r="R79" i="2"/>
  <c r="R144" i="2"/>
  <c r="R165" i="2"/>
  <c r="R164" i="2"/>
  <c r="R106" i="2"/>
  <c r="R87" i="2"/>
  <c r="R82" i="3"/>
  <c r="R82" i="2" s="1"/>
  <c r="R83" i="2"/>
  <c r="R102" i="2"/>
  <c r="R57" i="2"/>
  <c r="R53" i="2"/>
  <c r="R49" i="2"/>
  <c r="R5" i="2"/>
  <c r="R115" i="2"/>
  <c r="R99" i="2"/>
  <c r="R18" i="2"/>
  <c r="R150" i="2"/>
  <c r="R140" i="2"/>
  <c r="R139" i="2"/>
  <c r="R90" i="2"/>
  <c r="R11" i="2"/>
  <c r="R118" i="2"/>
  <c r="R34" i="2"/>
  <c r="R29" i="2"/>
  <c r="R14" i="2"/>
  <c r="R136" i="2"/>
  <c r="R129" i="2"/>
  <c r="R84" i="2"/>
  <c r="R77" i="2"/>
  <c r="R74" i="2"/>
  <c r="R70" i="2"/>
  <c r="R40" i="2"/>
  <c r="R95" i="2"/>
  <c r="R92" i="2"/>
  <c r="R89" i="2"/>
  <c r="R60" i="3"/>
  <c r="R60" i="2" s="1"/>
  <c r="R61" i="2"/>
  <c r="R54" i="2"/>
  <c r="R35" i="2"/>
  <c r="R21" i="2"/>
  <c r="R146" i="2"/>
  <c r="R143" i="2"/>
  <c r="R117" i="2"/>
  <c r="R66" i="2"/>
  <c r="R48" i="2"/>
  <c r="R43" i="2"/>
  <c r="R7" i="2"/>
  <c r="R152" i="2"/>
  <c r="R133" i="2"/>
  <c r="R85" i="2"/>
  <c r="R68" i="2"/>
  <c r="R138" i="2"/>
  <c r="R32" i="2"/>
  <c r="R141" i="2"/>
  <c r="R119" i="2"/>
  <c r="R114" i="2"/>
  <c r="R103" i="2"/>
  <c r="R97" i="2"/>
  <c r="R94" i="2"/>
  <c r="R93" i="2"/>
  <c r="R67" i="2"/>
  <c r="R42" i="2"/>
  <c r="R126" i="3"/>
  <c r="R126" i="2" s="1"/>
  <c r="R127" i="2"/>
  <c r="R80" i="2"/>
  <c r="R33" i="2"/>
  <c r="R58" i="2"/>
  <c r="R26" i="2"/>
  <c r="R78" i="2"/>
  <c r="R75" i="2"/>
  <c r="R142" i="2"/>
  <c r="R50" i="2"/>
  <c r="R122" i="2"/>
  <c r="R55" i="2"/>
  <c r="R44" i="2"/>
  <c r="R39" i="2"/>
  <c r="R27" i="2"/>
  <c r="R128" i="2"/>
  <c r="R88" i="2"/>
  <c r="R28" i="2"/>
  <c r="R132" i="2"/>
  <c r="R73" i="2"/>
  <c r="R169" i="2"/>
  <c r="R134" i="2"/>
  <c r="R123" i="2"/>
  <c r="R52" i="2"/>
  <c r="R131" i="2"/>
  <c r="R9" i="2"/>
  <c r="R153" i="2"/>
  <c r="R121" i="2"/>
  <c r="R72" i="2"/>
  <c r="R6" i="2"/>
  <c r="R101" i="2"/>
  <c r="R19" i="2"/>
  <c r="R98" i="2"/>
  <c r="R76" i="2"/>
  <c r="R109" i="2"/>
  <c r="R104" i="3"/>
  <c r="R104" i="2" s="1"/>
  <c r="R105" i="2"/>
  <c r="R62" i="2"/>
  <c r="R86" i="2"/>
  <c r="R81" i="2"/>
  <c r="R31" i="2"/>
  <c r="R71" i="2"/>
  <c r="R63" i="2"/>
  <c r="R45" i="3"/>
  <c r="R45" i="2" s="1"/>
  <c r="R46" i="2"/>
  <c r="R157" i="2"/>
  <c r="R147" i="2"/>
  <c r="R12" i="2"/>
  <c r="R69" i="2"/>
  <c r="R17" i="2"/>
  <c r="R38" i="2"/>
  <c r="R3" i="3"/>
  <c r="R3" i="2" s="1"/>
  <c r="R4" i="2"/>
  <c r="R64" i="2"/>
  <c r="R56" i="2"/>
  <c r="R36" i="2"/>
  <c r="R20" i="2"/>
  <c r="R30" i="2"/>
  <c r="R100" i="2"/>
  <c r="R91" i="2"/>
  <c r="R10" i="2"/>
  <c r="R24" i="3"/>
  <c r="R24" i="2" s="1"/>
  <c r="R25" i="2"/>
  <c r="R13" i="2"/>
  <c r="R22" i="2"/>
  <c r="R41" i="2"/>
  <c r="R15" i="2"/>
  <c r="R47" i="2"/>
  <c r="R16" i="2"/>
  <c r="R23" i="2"/>
  <c r="R37" i="2"/>
  <c r="R51" i="2"/>
  <c r="R148" i="3"/>
  <c r="R148" i="2" s="1"/>
  <c r="R149" i="2"/>
  <c r="R107" i="2"/>
  <c r="R8" i="2"/>
  <c r="R65" i="2"/>
  <c r="BF166" i="2"/>
  <c r="BF162" i="2"/>
  <c r="BF158" i="2"/>
  <c r="BF169" i="2"/>
  <c r="BF167" i="2"/>
  <c r="BF152" i="2"/>
  <c r="BF124" i="2"/>
  <c r="BF120" i="2"/>
  <c r="BF116" i="2"/>
  <c r="BF112" i="2"/>
  <c r="BF108" i="2"/>
  <c r="BF138" i="2"/>
  <c r="BF133" i="2"/>
  <c r="BF144" i="2"/>
  <c r="BF165" i="2"/>
  <c r="BF156" i="2"/>
  <c r="BF114" i="2"/>
  <c r="BF109" i="2"/>
  <c r="BF141" i="2"/>
  <c r="BF119" i="2"/>
  <c r="BF97" i="2"/>
  <c r="BF79" i="2"/>
  <c r="BF159" i="2"/>
  <c r="BF154" i="2"/>
  <c r="BF143" i="2"/>
  <c r="BF96" i="2"/>
  <c r="BF87" i="2"/>
  <c r="BF83" i="2"/>
  <c r="BF82" i="3"/>
  <c r="BF82" i="2" s="1"/>
  <c r="BF147" i="2"/>
  <c r="BF106" i="2"/>
  <c r="BF80" i="2"/>
  <c r="BF57" i="2"/>
  <c r="BF53" i="2"/>
  <c r="BF49" i="2"/>
  <c r="BF5" i="2"/>
  <c r="BF126" i="3"/>
  <c r="BF126" i="2" s="1"/>
  <c r="BF127" i="2"/>
  <c r="BF92" i="2"/>
  <c r="BF18" i="2"/>
  <c r="BF125" i="2"/>
  <c r="BF123" i="2"/>
  <c r="BF101" i="2"/>
  <c r="BF98" i="2"/>
  <c r="BF89" i="2"/>
  <c r="BF85" i="2"/>
  <c r="BF11" i="2"/>
  <c r="BF88" i="2"/>
  <c r="BF78" i="2"/>
  <c r="BF72" i="2"/>
  <c r="BF69" i="2"/>
  <c r="BF47" i="2"/>
  <c r="BF43" i="2"/>
  <c r="BF13" i="2"/>
  <c r="BF134" i="2"/>
  <c r="BF94" i="2"/>
  <c r="BF76" i="2"/>
  <c r="BF48" i="2"/>
  <c r="BF17" i="2"/>
  <c r="BF160" i="2"/>
  <c r="BF136" i="2"/>
  <c r="BF129" i="2"/>
  <c r="BF115" i="2"/>
  <c r="BF64" i="2"/>
  <c r="BF38" i="2"/>
  <c r="BF33" i="2"/>
  <c r="BF20" i="2"/>
  <c r="BF140" i="2"/>
  <c r="BF107" i="2"/>
  <c r="BF84" i="2"/>
  <c r="BF10" i="2"/>
  <c r="BF155" i="2"/>
  <c r="BF44" i="2"/>
  <c r="BF42" i="2"/>
  <c r="BF164" i="2"/>
  <c r="BF122" i="2"/>
  <c r="BF75" i="2"/>
  <c r="BF67" i="2"/>
  <c r="BF56" i="2"/>
  <c r="BF32" i="2"/>
  <c r="BF16" i="2"/>
  <c r="BF153" i="2"/>
  <c r="BF142" i="2"/>
  <c r="BF139" i="2"/>
  <c r="BF131" i="2"/>
  <c r="BF54" i="2"/>
  <c r="BF41" i="2"/>
  <c r="BF31" i="2"/>
  <c r="BF6" i="2"/>
  <c r="BF148" i="3"/>
  <c r="BF148" i="2" s="1"/>
  <c r="BF149" i="2"/>
  <c r="BF128" i="2"/>
  <c r="BF146" i="2"/>
  <c r="BF65" i="2"/>
  <c r="BF55" i="2"/>
  <c r="BF40" i="2"/>
  <c r="BF117" i="2"/>
  <c r="BF39" i="2"/>
  <c r="BF157" i="2"/>
  <c r="BF132" i="2"/>
  <c r="BF103" i="2"/>
  <c r="BF99" i="2"/>
  <c r="BF70" i="2"/>
  <c r="BF27" i="2"/>
  <c r="BF137" i="2"/>
  <c r="BF66" i="2"/>
  <c r="BF26" i="2"/>
  <c r="BF111" i="2"/>
  <c r="BF74" i="2"/>
  <c r="BF19" i="2"/>
  <c r="BF3" i="3"/>
  <c r="BF3" i="2" s="1"/>
  <c r="BF4" i="2"/>
  <c r="BF118" i="2"/>
  <c r="BF100" i="2"/>
  <c r="BF23" i="2"/>
  <c r="BF14" i="2"/>
  <c r="BF9" i="2"/>
  <c r="BF113" i="2"/>
  <c r="BF62" i="2"/>
  <c r="BF12" i="2"/>
  <c r="BF73" i="2"/>
  <c r="BF110" i="2"/>
  <c r="BF95" i="2"/>
  <c r="BF35" i="2"/>
  <c r="BF52" i="2"/>
  <c r="BF24" i="3"/>
  <c r="BF24" i="2" s="1"/>
  <c r="BF25" i="2"/>
  <c r="BF15" i="2"/>
  <c r="BF163" i="2"/>
  <c r="BF36" i="2"/>
  <c r="BF151" i="2"/>
  <c r="BF30" i="2"/>
  <c r="BF91" i="2"/>
  <c r="BF104" i="3"/>
  <c r="BF104" i="2" s="1"/>
  <c r="BF105" i="2"/>
  <c r="BF37" i="2"/>
  <c r="BF34" i="2"/>
  <c r="BF8" i="2"/>
  <c r="BF7" i="2"/>
  <c r="BF51" i="2"/>
  <c r="BF145" i="2"/>
  <c r="BF150" i="2"/>
  <c r="BF21" i="2"/>
  <c r="BF58" i="2"/>
  <c r="BF161" i="2"/>
  <c r="BF28" i="2"/>
  <c r="BF22" i="2"/>
  <c r="BF50" i="2"/>
  <c r="BF121" i="2"/>
  <c r="BF86" i="2"/>
  <c r="BF77" i="2"/>
  <c r="BF81" i="2"/>
  <c r="BF93" i="2"/>
  <c r="BF90" i="2"/>
  <c r="BF63" i="2"/>
  <c r="BF130" i="2"/>
  <c r="BF102" i="2"/>
  <c r="BF60" i="3"/>
  <c r="BF60" i="2" s="1"/>
  <c r="BF61" i="2"/>
  <c r="BF45" i="3"/>
  <c r="BF45" i="2" s="1"/>
  <c r="BF46" i="2"/>
  <c r="BF68" i="2"/>
  <c r="BF168" i="2"/>
  <c r="BF29" i="2"/>
  <c r="BF135" i="2"/>
  <c r="BF71" i="2"/>
  <c r="AU168" i="2"/>
  <c r="AU164" i="2"/>
  <c r="AU160" i="2"/>
  <c r="AU156" i="2"/>
  <c r="AU153" i="2"/>
  <c r="AU149" i="2"/>
  <c r="AU148" i="3"/>
  <c r="AU148" i="2" s="1"/>
  <c r="AU158" i="2"/>
  <c r="AU147" i="2"/>
  <c r="AU143" i="2"/>
  <c r="AU139" i="2"/>
  <c r="AU135" i="2"/>
  <c r="AU131" i="2"/>
  <c r="AU126" i="3"/>
  <c r="AU126" i="2" s="1"/>
  <c r="AU127" i="2"/>
  <c r="AU150" i="2"/>
  <c r="AU157" i="2"/>
  <c r="AU146" i="2"/>
  <c r="AU141" i="2"/>
  <c r="AU136" i="2"/>
  <c r="AU169" i="2"/>
  <c r="AU161" i="2"/>
  <c r="AU159" i="2"/>
  <c r="AU167" i="2"/>
  <c r="AU122" i="2"/>
  <c r="AU117" i="2"/>
  <c r="AU112" i="2"/>
  <c r="AU107" i="2"/>
  <c r="AU130" i="2"/>
  <c r="AU144" i="2"/>
  <c r="AU120" i="2"/>
  <c r="AU106" i="2"/>
  <c r="AU92" i="2"/>
  <c r="AU81" i="2"/>
  <c r="AU77" i="2"/>
  <c r="AU163" i="2"/>
  <c r="AU102" i="2"/>
  <c r="AU154" i="2"/>
  <c r="AU78" i="2"/>
  <c r="AU74" i="2"/>
  <c r="AU68" i="2"/>
  <c r="AU64" i="2"/>
  <c r="AU22" i="2"/>
  <c r="AU94" i="2"/>
  <c r="AU55" i="2"/>
  <c r="AU51" i="2"/>
  <c r="AU47" i="2"/>
  <c r="AU15" i="2"/>
  <c r="AU97" i="2"/>
  <c r="AU82" i="3"/>
  <c r="AU82" i="2" s="1"/>
  <c r="AU83" i="2"/>
  <c r="AU8" i="2"/>
  <c r="AU145" i="2"/>
  <c r="AU132" i="2"/>
  <c r="AU113" i="2"/>
  <c r="AU111" i="2"/>
  <c r="AU71" i="2"/>
  <c r="AU50" i="2"/>
  <c r="AU166" i="2"/>
  <c r="AU128" i="2"/>
  <c r="AU89" i="2"/>
  <c r="AU133" i="2"/>
  <c r="AU114" i="2"/>
  <c r="AU41" i="2"/>
  <c r="AU36" i="2"/>
  <c r="AU26" i="2"/>
  <c r="AU12" i="2"/>
  <c r="AU101" i="2"/>
  <c r="AU96" i="2"/>
  <c r="AU93" i="2"/>
  <c r="AU66" i="2"/>
  <c r="AU48" i="2"/>
  <c r="AU43" i="2"/>
  <c r="AU18" i="2"/>
  <c r="AU165" i="2"/>
  <c r="AU103" i="2"/>
  <c r="AU100" i="2"/>
  <c r="AU99" i="2"/>
  <c r="AU86" i="2"/>
  <c r="AU63" i="2"/>
  <c r="AU60" i="3"/>
  <c r="AU60" i="2" s="1"/>
  <c r="AU61" i="2"/>
  <c r="AU38" i="2"/>
  <c r="AU121" i="2"/>
  <c r="AU119" i="2"/>
  <c r="AU116" i="2"/>
  <c r="AU90" i="2"/>
  <c r="AU85" i="2"/>
  <c r="AU84" i="2"/>
  <c r="AU73" i="2"/>
  <c r="AU70" i="2"/>
  <c r="AU115" i="2"/>
  <c r="AU108" i="2"/>
  <c r="AU67" i="2"/>
  <c r="AU57" i="2"/>
  <c r="AU44" i="2"/>
  <c r="AU42" i="2"/>
  <c r="AU35" i="2"/>
  <c r="AU134" i="2"/>
  <c r="AU142" i="2"/>
  <c r="AU69" i="2"/>
  <c r="AU56" i="2"/>
  <c r="AU33" i="2"/>
  <c r="AU7" i="2"/>
  <c r="AU140" i="2"/>
  <c r="AU138" i="2"/>
  <c r="AU80" i="2"/>
  <c r="AU58" i="2"/>
  <c r="AU155" i="2"/>
  <c r="AU91" i="2"/>
  <c r="AU65" i="2"/>
  <c r="AU53" i="2"/>
  <c r="AU21" i="2"/>
  <c r="AU9" i="2"/>
  <c r="AU30" i="2"/>
  <c r="AU19" i="2"/>
  <c r="AU17" i="2"/>
  <c r="AU162" i="2"/>
  <c r="AU49" i="2"/>
  <c r="AU37" i="2"/>
  <c r="AU34" i="2"/>
  <c r="AU28" i="2"/>
  <c r="AU6" i="2"/>
  <c r="AU109" i="2"/>
  <c r="AU14" i="2"/>
  <c r="AU118" i="2"/>
  <c r="AU39" i="2"/>
  <c r="AU24" i="3"/>
  <c r="AU24" i="2" s="1"/>
  <c r="AU25" i="2"/>
  <c r="AU123" i="2"/>
  <c r="AU129" i="2"/>
  <c r="AU110" i="2"/>
  <c r="AU125" i="2"/>
  <c r="AU98" i="2"/>
  <c r="AU75" i="2"/>
  <c r="AU104" i="3"/>
  <c r="AU104" i="2" s="1"/>
  <c r="AU105" i="2"/>
  <c r="AU16" i="2"/>
  <c r="AU124" i="2"/>
  <c r="AU23" i="2"/>
  <c r="AU32" i="2"/>
  <c r="AU76" i="2"/>
  <c r="AU52" i="2"/>
  <c r="AU29" i="2"/>
  <c r="AU137" i="2"/>
  <c r="AU88" i="2"/>
  <c r="AU95" i="2"/>
  <c r="AU27" i="2"/>
  <c r="AU40" i="2"/>
  <c r="AU151" i="2"/>
  <c r="AU45" i="3"/>
  <c r="AU45" i="2" s="1"/>
  <c r="AU46" i="2"/>
  <c r="AU11" i="2"/>
  <c r="AU79" i="2"/>
  <c r="AU72" i="2"/>
  <c r="AU3" i="3"/>
  <c r="AU3" i="2" s="1"/>
  <c r="AU4" i="2"/>
  <c r="AU31" i="2"/>
  <c r="AU87" i="2"/>
  <c r="AU62" i="2"/>
  <c r="AU20" i="2"/>
  <c r="AU54" i="2"/>
  <c r="AU13" i="2"/>
  <c r="AU10" i="2"/>
  <c r="AU5" i="2"/>
  <c r="AU152" i="2"/>
  <c r="O164" i="2"/>
  <c r="O159" i="2"/>
  <c r="O165" i="2"/>
  <c r="O151" i="2"/>
  <c r="O125" i="2"/>
  <c r="O121" i="2"/>
  <c r="O117" i="2"/>
  <c r="O113" i="2"/>
  <c r="O109" i="2"/>
  <c r="O153" i="2"/>
  <c r="O145" i="2"/>
  <c r="O141" i="2"/>
  <c r="O137" i="2"/>
  <c r="O133" i="2"/>
  <c r="O129" i="2"/>
  <c r="O157" i="2"/>
  <c r="O139" i="2"/>
  <c r="O120" i="2"/>
  <c r="O115" i="2"/>
  <c r="O169" i="2"/>
  <c r="O134" i="2"/>
  <c r="O148" i="3"/>
  <c r="O148" i="2" s="1"/>
  <c r="O149" i="2"/>
  <c r="O140" i="2"/>
  <c r="O102" i="2"/>
  <c r="O98" i="2"/>
  <c r="O94" i="2"/>
  <c r="O90" i="2"/>
  <c r="O135" i="2"/>
  <c r="O88" i="2"/>
  <c r="O84" i="2"/>
  <c r="O142" i="2"/>
  <c r="O118" i="2"/>
  <c r="O97" i="2"/>
  <c r="O132" i="2"/>
  <c r="O108" i="2"/>
  <c r="O93" i="2"/>
  <c r="O86" i="2"/>
  <c r="O6" i="2"/>
  <c r="O131" i="2"/>
  <c r="O81" i="2"/>
  <c r="O41" i="2"/>
  <c r="O37" i="2"/>
  <c r="O33" i="2"/>
  <c r="O29" i="2"/>
  <c r="O24" i="3"/>
  <c r="O24" i="2" s="1"/>
  <c r="O25" i="2"/>
  <c r="O19" i="2"/>
  <c r="O168" i="2"/>
  <c r="O158" i="2"/>
  <c r="O130" i="2"/>
  <c r="O70" i="2"/>
  <c r="O66" i="2"/>
  <c r="O62" i="2"/>
  <c r="O12" i="2"/>
  <c r="O103" i="2"/>
  <c r="O96" i="2"/>
  <c r="O44" i="2"/>
  <c r="O119" i="2"/>
  <c r="O79" i="2"/>
  <c r="O73" i="2"/>
  <c r="O65" i="2"/>
  <c r="O58" i="2"/>
  <c r="O39" i="2"/>
  <c r="O147" i="2"/>
  <c r="O114" i="2"/>
  <c r="O49" i="2"/>
  <c r="O11" i="2"/>
  <c r="O150" i="2"/>
  <c r="O138" i="2"/>
  <c r="O99" i="2"/>
  <c r="O87" i="2"/>
  <c r="O74" i="2"/>
  <c r="O45" i="3"/>
  <c r="O45" i="2" s="1"/>
  <c r="O46" i="2"/>
  <c r="O18" i="2"/>
  <c r="O163" i="2"/>
  <c r="O122" i="2"/>
  <c r="O101" i="2"/>
  <c r="O77" i="2"/>
  <c r="O60" i="3"/>
  <c r="O60" i="2" s="1"/>
  <c r="O61" i="2"/>
  <c r="O53" i="2"/>
  <c r="O154" i="2"/>
  <c r="O136" i="2"/>
  <c r="O100" i="2"/>
  <c r="O71" i="2"/>
  <c r="O31" i="2"/>
  <c r="O21" i="2"/>
  <c r="O15" i="2"/>
  <c r="O72" i="2"/>
  <c r="O8" i="2"/>
  <c r="O152" i="2"/>
  <c r="O105" i="2"/>
  <c r="O104" i="3"/>
  <c r="O104" i="2" s="1"/>
  <c r="O57" i="2"/>
  <c r="O43" i="2"/>
  <c r="O155" i="2"/>
  <c r="O89" i="2"/>
  <c r="O69" i="2"/>
  <c r="O68" i="2"/>
  <c r="O56" i="2"/>
  <c r="O161" i="2"/>
  <c r="O85" i="2"/>
  <c r="O80" i="2"/>
  <c r="O38" i="2"/>
  <c r="O9" i="2"/>
  <c r="O54" i="2"/>
  <c r="O14" i="2"/>
  <c r="O10" i="2"/>
  <c r="O75" i="2"/>
  <c r="O146" i="2"/>
  <c r="O22" i="2"/>
  <c r="O40" i="2"/>
  <c r="O26" i="2"/>
  <c r="O128" i="2"/>
  <c r="O47" i="2"/>
  <c r="O23" i="2"/>
  <c r="O4" i="2"/>
  <c r="O3" i="3"/>
  <c r="O3" i="2" s="1"/>
  <c r="O124" i="2"/>
  <c r="O83" i="2"/>
  <c r="O82" i="3"/>
  <c r="O82" i="2" s="1"/>
  <c r="O160" i="2"/>
  <c r="O91" i="2"/>
  <c r="O64" i="2"/>
  <c r="O35" i="2"/>
  <c r="O16" i="2"/>
  <c r="O123" i="2"/>
  <c r="O111" i="2"/>
  <c r="O5" i="2"/>
  <c r="O144" i="2"/>
  <c r="O127" i="2"/>
  <c r="O126" i="3"/>
  <c r="O126" i="2" s="1"/>
  <c r="O78" i="2"/>
  <c r="O76" i="2"/>
  <c r="O95" i="2"/>
  <c r="O51" i="2"/>
  <c r="O27" i="2"/>
  <c r="O50" i="2"/>
  <c r="O63" i="2"/>
  <c r="O30" i="2"/>
  <c r="O55" i="2"/>
  <c r="O92" i="2"/>
  <c r="O13" i="2"/>
  <c r="O143" i="2"/>
  <c r="O36" i="2"/>
  <c r="O20" i="2"/>
  <c r="O32" i="2"/>
  <c r="O116" i="2"/>
  <c r="O17" i="2"/>
  <c r="O34" i="2"/>
  <c r="O110" i="2"/>
  <c r="O162" i="2"/>
  <c r="O107" i="2"/>
  <c r="O67" i="2"/>
  <c r="O106" i="2"/>
  <c r="O48" i="2"/>
  <c r="O52" i="2"/>
  <c r="O7" i="2"/>
  <c r="O166" i="2"/>
  <c r="O42" i="2"/>
  <c r="O156" i="2"/>
  <c r="O112" i="2"/>
  <c r="O167" i="2"/>
  <c r="O28" i="2"/>
  <c r="BA167" i="2"/>
  <c r="BA163" i="2"/>
  <c r="BA159" i="2"/>
  <c r="BA155" i="2"/>
  <c r="BA158" i="2"/>
  <c r="BA151" i="2"/>
  <c r="BA125" i="2"/>
  <c r="BA121" i="2"/>
  <c r="BA117" i="2"/>
  <c r="BA113" i="2"/>
  <c r="BA109" i="2"/>
  <c r="BA105" i="2"/>
  <c r="BA104" i="3"/>
  <c r="BA104" i="2" s="1"/>
  <c r="BA147" i="2"/>
  <c r="BA126" i="3"/>
  <c r="BA126" i="2" s="1"/>
  <c r="BA127" i="2"/>
  <c r="BA123" i="2"/>
  <c r="BA108" i="2"/>
  <c r="BA168" i="2"/>
  <c r="BA142" i="2"/>
  <c r="BA150" i="2"/>
  <c r="BA133" i="2"/>
  <c r="BA128" i="2"/>
  <c r="BA124" i="2"/>
  <c r="BA80" i="2"/>
  <c r="BA149" i="2"/>
  <c r="BA148" i="3"/>
  <c r="BA148" i="2" s="1"/>
  <c r="BA129" i="2"/>
  <c r="BA122" i="2"/>
  <c r="BA89" i="2"/>
  <c r="BA164" i="2"/>
  <c r="BA141" i="2"/>
  <c r="BA134" i="2"/>
  <c r="BA119" i="2"/>
  <c r="BA112" i="2"/>
  <c r="BA110" i="2"/>
  <c r="BA99" i="2"/>
  <c r="BA84" i="2"/>
  <c r="BA116" i="2"/>
  <c r="BA100" i="2"/>
  <c r="BA71" i="2"/>
  <c r="BA58" i="2"/>
  <c r="BA54" i="2"/>
  <c r="BA50" i="2"/>
  <c r="BA45" i="3"/>
  <c r="BA45" i="2" s="1"/>
  <c r="BA46" i="2"/>
  <c r="BA20" i="2"/>
  <c r="BA138" i="2"/>
  <c r="BA115" i="2"/>
  <c r="BA13" i="2"/>
  <c r="BA139" i="2"/>
  <c r="BA130" i="2"/>
  <c r="BA114" i="2"/>
  <c r="BA91" i="2"/>
  <c r="BA6" i="2"/>
  <c r="BA157" i="2"/>
  <c r="BA118" i="2"/>
  <c r="BA67" i="2"/>
  <c r="BA37" i="2"/>
  <c r="BA32" i="2"/>
  <c r="BA16" i="2"/>
  <c r="BA165" i="2"/>
  <c r="BA98" i="2"/>
  <c r="BA81" i="2"/>
  <c r="BA51" i="2"/>
  <c r="BA27" i="2"/>
  <c r="BA153" i="2"/>
  <c r="BA102" i="2"/>
  <c r="BA88" i="2"/>
  <c r="BA57" i="2"/>
  <c r="BA52" i="2"/>
  <c r="BA23" i="2"/>
  <c r="BA156" i="2"/>
  <c r="BA103" i="2"/>
  <c r="BA76" i="2"/>
  <c r="BA70" i="2"/>
  <c r="BA55" i="2"/>
  <c r="BA26" i="2"/>
  <c r="BA161" i="2"/>
  <c r="BA82" i="3"/>
  <c r="BA82" i="2" s="1"/>
  <c r="BA83" i="2"/>
  <c r="BA65" i="2"/>
  <c r="BA40" i="2"/>
  <c r="BA14" i="2"/>
  <c r="BA160" i="2"/>
  <c r="BA140" i="2"/>
  <c r="BA107" i="2"/>
  <c r="BA10" i="2"/>
  <c r="BA144" i="2"/>
  <c r="BA79" i="2"/>
  <c r="BA34" i="2"/>
  <c r="BA146" i="2"/>
  <c r="BA169" i="2"/>
  <c r="BA136" i="2"/>
  <c r="BA41" i="2"/>
  <c r="BA73" i="2"/>
  <c r="BA38" i="2"/>
  <c r="BA66" i="2"/>
  <c r="BA120" i="2"/>
  <c r="BA101" i="2"/>
  <c r="BA49" i="2"/>
  <c r="BA85" i="2"/>
  <c r="BA154" i="2"/>
  <c r="BA77" i="2"/>
  <c r="BA44" i="2"/>
  <c r="BA39" i="2"/>
  <c r="BA22" i="2"/>
  <c r="BA143" i="2"/>
  <c r="BA87" i="2"/>
  <c r="BA18" i="2"/>
  <c r="BA145" i="2"/>
  <c r="BA53" i="2"/>
  <c r="BA3" i="3"/>
  <c r="BA3" i="2" s="1"/>
  <c r="BA4" i="2"/>
  <c r="BA111" i="2"/>
  <c r="BA152" i="2"/>
  <c r="BA21" i="2"/>
  <c r="BA162" i="2"/>
  <c r="BA106" i="2"/>
  <c r="BA78" i="2"/>
  <c r="BA47" i="2"/>
  <c r="BA64" i="2"/>
  <c r="BA62" i="2"/>
  <c r="BA12" i="2"/>
  <c r="BA43" i="2"/>
  <c r="BA92" i="2"/>
  <c r="BA75" i="2"/>
  <c r="BA68" i="2"/>
  <c r="BA29" i="2"/>
  <c r="BA8" i="2"/>
  <c r="BA137" i="2"/>
  <c r="BA166" i="2"/>
  <c r="BA74" i="2"/>
  <c r="BA132" i="2"/>
  <c r="BA17" i="2"/>
  <c r="BA31" i="2"/>
  <c r="BA15" i="2"/>
  <c r="BA48" i="2"/>
  <c r="BA25" i="2"/>
  <c r="BA24" i="3"/>
  <c r="BA24" i="2" s="1"/>
  <c r="BA60" i="3"/>
  <c r="BA60" i="2" s="1"/>
  <c r="BA61" i="2"/>
  <c r="BA42" i="2"/>
  <c r="BA33" i="2"/>
  <c r="BA28" i="2"/>
  <c r="BA7" i="2"/>
  <c r="BA95" i="2"/>
  <c r="BA94" i="2"/>
  <c r="BA135" i="2"/>
  <c r="BA9" i="2"/>
  <c r="BA56" i="2"/>
  <c r="BA30" i="2"/>
  <c r="BA131" i="2"/>
  <c r="BA96" i="2"/>
  <c r="BA72" i="2"/>
  <c r="BA97" i="2"/>
  <c r="BA36" i="2"/>
  <c r="BA19" i="2"/>
  <c r="BA86" i="2"/>
  <c r="BA93" i="2"/>
  <c r="BA63" i="2"/>
  <c r="BA69" i="2"/>
  <c r="BA5" i="2"/>
  <c r="BA11" i="2"/>
  <c r="BA35" i="2"/>
  <c r="BA90" i="2"/>
  <c r="V169" i="2"/>
  <c r="V165" i="2"/>
  <c r="V161" i="2"/>
  <c r="V157" i="2"/>
  <c r="V154" i="2"/>
  <c r="V150" i="2"/>
  <c r="V166" i="2"/>
  <c r="V156" i="2"/>
  <c r="V144" i="2"/>
  <c r="V140" i="2"/>
  <c r="V136" i="2"/>
  <c r="V132" i="2"/>
  <c r="V128" i="2"/>
  <c r="V148" i="3"/>
  <c r="V148" i="2" s="1"/>
  <c r="V149" i="2"/>
  <c r="V168" i="2"/>
  <c r="V121" i="2"/>
  <c r="V116" i="2"/>
  <c r="V153" i="2"/>
  <c r="V131" i="2"/>
  <c r="V107" i="2"/>
  <c r="V146" i="2"/>
  <c r="V141" i="2"/>
  <c r="V106" i="2"/>
  <c r="V122" i="2"/>
  <c r="V120" i="2"/>
  <c r="V139" i="2"/>
  <c r="V94" i="2"/>
  <c r="V78" i="2"/>
  <c r="V117" i="2"/>
  <c r="V138" i="2"/>
  <c r="V115" i="2"/>
  <c r="V87" i="2"/>
  <c r="V77" i="2"/>
  <c r="V76" i="2"/>
  <c r="V69" i="2"/>
  <c r="V65" i="2"/>
  <c r="V60" i="3"/>
  <c r="V60" i="2" s="1"/>
  <c r="V61" i="2"/>
  <c r="V17" i="2"/>
  <c r="V163" i="2"/>
  <c r="V158" i="2"/>
  <c r="V147" i="2"/>
  <c r="V130" i="2"/>
  <c r="V114" i="2"/>
  <c r="V56" i="2"/>
  <c r="V52" i="2"/>
  <c r="V48" i="2"/>
  <c r="V10" i="2"/>
  <c r="V126" i="3"/>
  <c r="V126" i="2" s="1"/>
  <c r="V127" i="2"/>
  <c r="V75" i="2"/>
  <c r="V23" i="2"/>
  <c r="V129" i="2"/>
  <c r="V125" i="2"/>
  <c r="V86" i="2"/>
  <c r="V40" i="2"/>
  <c r="V30" i="2"/>
  <c r="V25" i="2"/>
  <c r="V24" i="3"/>
  <c r="V24" i="2" s="1"/>
  <c r="V18" i="2"/>
  <c r="V8" i="2"/>
  <c r="V159" i="2"/>
  <c r="V109" i="2"/>
  <c r="V99" i="2"/>
  <c r="V95" i="2"/>
  <c r="V71" i="2"/>
  <c r="V66" i="2"/>
  <c r="V164" i="2"/>
  <c r="V102" i="2"/>
  <c r="V55" i="2"/>
  <c r="V50" i="2"/>
  <c r="V31" i="2"/>
  <c r="V15" i="2"/>
  <c r="V5" i="2"/>
  <c r="V83" i="2"/>
  <c r="V82" i="3"/>
  <c r="V82" i="2" s="1"/>
  <c r="V63" i="2"/>
  <c r="V38" i="2"/>
  <c r="V84" i="2"/>
  <c r="V123" i="2"/>
  <c r="V57" i="2"/>
  <c r="V33" i="2"/>
  <c r="V11" i="2"/>
  <c r="V133" i="2"/>
  <c r="V34" i="2"/>
  <c r="V7" i="2"/>
  <c r="V143" i="2"/>
  <c r="V124" i="2"/>
  <c r="V81" i="2"/>
  <c r="V41" i="2"/>
  <c r="V6" i="2"/>
  <c r="V145" i="2"/>
  <c r="V110" i="2"/>
  <c r="V105" i="2"/>
  <c r="V104" i="3"/>
  <c r="V104" i="2" s="1"/>
  <c r="V96" i="2"/>
  <c r="V49" i="2"/>
  <c r="V19" i="2"/>
  <c r="V98" i="2"/>
  <c r="V92" i="2"/>
  <c r="V67" i="2"/>
  <c r="V44" i="2"/>
  <c r="V16" i="2"/>
  <c r="V135" i="2"/>
  <c r="V118" i="2"/>
  <c r="V113" i="2"/>
  <c r="V74" i="2"/>
  <c r="V62" i="2"/>
  <c r="V51" i="2"/>
  <c r="V28" i="2"/>
  <c r="V134" i="2"/>
  <c r="V80" i="2"/>
  <c r="V68" i="2"/>
  <c r="V9" i="2"/>
  <c r="V72" i="2"/>
  <c r="V13" i="2"/>
  <c r="V160" i="2"/>
  <c r="V137" i="2"/>
  <c r="V29" i="2"/>
  <c r="V112" i="2"/>
  <c r="V70" i="2"/>
  <c r="V42" i="2"/>
  <c r="V27" i="2"/>
  <c r="V20" i="2"/>
  <c r="V119" i="2"/>
  <c r="V93" i="2"/>
  <c r="V91" i="2"/>
  <c r="V58" i="2"/>
  <c r="V45" i="3"/>
  <c r="V45" i="2" s="1"/>
  <c r="V46" i="2"/>
  <c r="V43" i="2"/>
  <c r="V37" i="2"/>
  <c r="V142" i="2"/>
  <c r="V108" i="2"/>
  <c r="V103" i="2"/>
  <c r="V101" i="2"/>
  <c r="V97" i="2"/>
  <c r="V36" i="2"/>
  <c r="V79" i="2"/>
  <c r="V39" i="2"/>
  <c r="V54" i="2"/>
  <c r="V35" i="2"/>
  <c r="V53" i="2"/>
  <c r="V3" i="3"/>
  <c r="V3" i="2" s="1"/>
  <c r="V4" i="2"/>
  <c r="V90" i="2"/>
  <c r="V89" i="2"/>
  <c r="V12" i="2"/>
  <c r="V100" i="2"/>
  <c r="V85" i="2"/>
  <c r="V26" i="2"/>
  <c r="V155" i="2"/>
  <c r="V14" i="2"/>
  <c r="V151" i="2"/>
  <c r="V111" i="2"/>
  <c r="V88" i="2"/>
  <c r="V21" i="2"/>
  <c r="V167" i="2"/>
  <c r="V73" i="2"/>
  <c r="V64" i="2"/>
  <c r="V162" i="2"/>
  <c r="V152" i="2"/>
  <c r="V22" i="2"/>
  <c r="V32" i="2"/>
  <c r="V47" i="2"/>
  <c r="BJ169" i="2"/>
  <c r="BJ165" i="2"/>
  <c r="BJ161" i="2"/>
  <c r="BJ157" i="2"/>
  <c r="BJ154" i="2"/>
  <c r="BJ150" i="2"/>
  <c r="BJ144" i="2"/>
  <c r="BJ140" i="2"/>
  <c r="BJ136" i="2"/>
  <c r="BJ132" i="2"/>
  <c r="BJ128" i="2"/>
  <c r="BJ153" i="2"/>
  <c r="BJ166" i="2"/>
  <c r="BJ134" i="2"/>
  <c r="BJ129" i="2"/>
  <c r="BJ152" i="2"/>
  <c r="BJ164" i="2"/>
  <c r="BJ125" i="2"/>
  <c r="BJ120" i="2"/>
  <c r="BJ110" i="2"/>
  <c r="BJ104" i="3"/>
  <c r="BJ104" i="2" s="1"/>
  <c r="BJ105" i="2"/>
  <c r="BJ159" i="2"/>
  <c r="BJ138" i="2"/>
  <c r="BJ123" i="2"/>
  <c r="BJ114" i="2"/>
  <c r="BJ95" i="2"/>
  <c r="BJ78" i="2"/>
  <c r="BJ145" i="2"/>
  <c r="BJ121" i="2"/>
  <c r="BJ160" i="2"/>
  <c r="BJ113" i="2"/>
  <c r="BJ81" i="2"/>
  <c r="BJ69" i="2"/>
  <c r="BJ65" i="2"/>
  <c r="BJ60" i="3"/>
  <c r="BJ60" i="2" s="1"/>
  <c r="BJ61" i="2"/>
  <c r="BJ17" i="2"/>
  <c r="BJ146" i="2"/>
  <c r="BJ56" i="2"/>
  <c r="BJ52" i="2"/>
  <c r="BJ48" i="2"/>
  <c r="BJ10" i="2"/>
  <c r="BJ168" i="2"/>
  <c r="BJ163" i="2"/>
  <c r="BJ158" i="2"/>
  <c r="BJ124" i="2"/>
  <c r="BJ112" i="2"/>
  <c r="BJ93" i="2"/>
  <c r="BJ23" i="2"/>
  <c r="BJ162" i="2"/>
  <c r="BJ58" i="2"/>
  <c r="BJ53" i="2"/>
  <c r="BJ39" i="2"/>
  <c r="BJ167" i="2"/>
  <c r="BJ115" i="2"/>
  <c r="BJ141" i="2"/>
  <c r="BJ122" i="2"/>
  <c r="BJ101" i="2"/>
  <c r="BJ85" i="2"/>
  <c r="BJ80" i="2"/>
  <c r="BJ73" i="2"/>
  <c r="BJ44" i="2"/>
  <c r="BJ34" i="2"/>
  <c r="BJ29" i="2"/>
  <c r="BJ14" i="2"/>
  <c r="BJ3" i="3"/>
  <c r="BJ3" i="2" s="1"/>
  <c r="BJ4" i="2"/>
  <c r="BJ155" i="2"/>
  <c r="BJ143" i="2"/>
  <c r="BJ117" i="2"/>
  <c r="BJ22" i="2"/>
  <c r="BJ19" i="2"/>
  <c r="BJ13" i="2"/>
  <c r="BJ49" i="2"/>
  <c r="BJ32" i="2"/>
  <c r="BJ27" i="2"/>
  <c r="BJ24" i="3"/>
  <c r="BJ24" i="2" s="1"/>
  <c r="BJ25" i="2"/>
  <c r="BJ9" i="2"/>
  <c r="BJ94" i="2"/>
  <c r="BJ40" i="2"/>
  <c r="BJ51" i="2"/>
  <c r="BJ5" i="2"/>
  <c r="BJ148" i="3"/>
  <c r="BJ148" i="2" s="1"/>
  <c r="BJ149" i="2"/>
  <c r="BJ86" i="2"/>
  <c r="BJ64" i="2"/>
  <c r="BJ30" i="2"/>
  <c r="BJ96" i="2"/>
  <c r="BJ75" i="2"/>
  <c r="BJ66" i="2"/>
  <c r="BJ50" i="2"/>
  <c r="BJ62" i="2"/>
  <c r="BJ28" i="2"/>
  <c r="BJ106" i="2"/>
  <c r="BJ33" i="2"/>
  <c r="BJ11" i="2"/>
  <c r="BJ71" i="2"/>
  <c r="BJ156" i="2"/>
  <c r="BJ137" i="2"/>
  <c r="BJ83" i="2"/>
  <c r="BJ82" i="3"/>
  <c r="BJ82" i="2" s="1"/>
  <c r="BJ67" i="2"/>
  <c r="BJ55" i="2"/>
  <c r="BJ15" i="2"/>
  <c r="BJ119" i="2"/>
  <c r="BJ147" i="2"/>
  <c r="BJ139" i="2"/>
  <c r="BJ109" i="2"/>
  <c r="BJ108" i="2"/>
  <c r="BJ35" i="2"/>
  <c r="BJ16" i="2"/>
  <c r="BJ7" i="2"/>
  <c r="BJ142" i="2"/>
  <c r="BJ57" i="2"/>
  <c r="BJ103" i="2"/>
  <c r="BJ99" i="2"/>
  <c r="BJ70" i="2"/>
  <c r="BJ68" i="2"/>
  <c r="BJ151" i="2"/>
  <c r="BJ84" i="2"/>
  <c r="BJ77" i="2"/>
  <c r="BJ42" i="2"/>
  <c r="BJ37" i="2"/>
  <c r="BJ74" i="2"/>
  <c r="BJ47" i="2"/>
  <c r="BJ72" i="2"/>
  <c r="BJ41" i="2"/>
  <c r="BJ46" i="2"/>
  <c r="BJ45" i="3"/>
  <c r="BJ45" i="2" s="1"/>
  <c r="BJ36" i="2"/>
  <c r="BJ20" i="2"/>
  <c r="BJ130" i="2"/>
  <c r="BJ91" i="2"/>
  <c r="BJ90" i="2"/>
  <c r="BJ21" i="2"/>
  <c r="BJ31" i="2"/>
  <c r="BJ111" i="2"/>
  <c r="BJ107" i="2"/>
  <c r="BJ12" i="2"/>
  <c r="BJ133" i="2"/>
  <c r="BJ118" i="2"/>
  <c r="BJ6" i="2"/>
  <c r="BJ88" i="2"/>
  <c r="BJ63" i="2"/>
  <c r="BJ92" i="2"/>
  <c r="BJ116" i="2"/>
  <c r="BJ43" i="2"/>
  <c r="BJ54" i="2"/>
  <c r="BJ87" i="2"/>
  <c r="BJ131" i="2"/>
  <c r="BJ102" i="2"/>
  <c r="BJ97" i="2"/>
  <c r="BJ100" i="2"/>
  <c r="BJ38" i="2"/>
  <c r="BJ26" i="2"/>
  <c r="BJ89" i="2"/>
  <c r="BJ126" i="3"/>
  <c r="BJ126" i="2" s="1"/>
  <c r="BJ127" i="2"/>
  <c r="BJ76" i="2"/>
  <c r="BJ8" i="2"/>
  <c r="BJ98" i="2"/>
  <c r="BJ18" i="2"/>
  <c r="BJ135" i="2"/>
  <c r="BJ79" i="2"/>
  <c r="T161" i="2"/>
  <c r="T154" i="2"/>
  <c r="T150" i="2"/>
  <c r="T163" i="2"/>
  <c r="T124" i="2"/>
  <c r="T120" i="2"/>
  <c r="T116" i="2"/>
  <c r="T112" i="2"/>
  <c r="T108" i="2"/>
  <c r="T158" i="2"/>
  <c r="T144" i="2"/>
  <c r="T140" i="2"/>
  <c r="T136" i="2"/>
  <c r="T132" i="2"/>
  <c r="T128" i="2"/>
  <c r="T167" i="2"/>
  <c r="T145" i="2"/>
  <c r="T130" i="2"/>
  <c r="T168" i="2"/>
  <c r="T121" i="2"/>
  <c r="T101" i="2"/>
  <c r="T97" i="2"/>
  <c r="T93" i="2"/>
  <c r="T89" i="2"/>
  <c r="T165" i="2"/>
  <c r="T164" i="2"/>
  <c r="T125" i="2"/>
  <c r="T106" i="2"/>
  <c r="T87" i="2"/>
  <c r="T83" i="2"/>
  <c r="T82" i="3"/>
  <c r="T82" i="2" s="1"/>
  <c r="T148" i="3"/>
  <c r="T148" i="2" s="1"/>
  <c r="T149" i="2"/>
  <c r="T126" i="3"/>
  <c r="T126" i="2" s="1"/>
  <c r="T127" i="2"/>
  <c r="T115" i="2"/>
  <c r="T95" i="2"/>
  <c r="T122" i="2"/>
  <c r="T139" i="2"/>
  <c r="T90" i="2"/>
  <c r="T11" i="2"/>
  <c r="T160" i="2"/>
  <c r="T129" i="2"/>
  <c r="T94" i="2"/>
  <c r="T78" i="2"/>
  <c r="T44" i="2"/>
  <c r="T40" i="2"/>
  <c r="T36" i="2"/>
  <c r="T32" i="2"/>
  <c r="T28" i="2"/>
  <c r="T3" i="3"/>
  <c r="T3" i="2" s="1"/>
  <c r="T4" i="2"/>
  <c r="T138" i="2"/>
  <c r="T77" i="2"/>
  <c r="T76" i="2"/>
  <c r="T69" i="2"/>
  <c r="T65" i="2"/>
  <c r="T60" i="3"/>
  <c r="T60" i="2" s="1"/>
  <c r="T61" i="2"/>
  <c r="T17" i="2"/>
  <c r="T92" i="2"/>
  <c r="T54" i="2"/>
  <c r="T49" i="2"/>
  <c r="T35" i="2"/>
  <c r="T21" i="2"/>
  <c r="T134" i="2"/>
  <c r="T169" i="2"/>
  <c r="T156" i="2"/>
  <c r="T86" i="2"/>
  <c r="T30" i="2"/>
  <c r="T24" i="3"/>
  <c r="T24" i="2" s="1"/>
  <c r="T25" i="2"/>
  <c r="T18" i="2"/>
  <c r="T8" i="2"/>
  <c r="T133" i="2"/>
  <c r="T85" i="2"/>
  <c r="T68" i="2"/>
  <c r="T162" i="2"/>
  <c r="T55" i="2"/>
  <c r="T26" i="2"/>
  <c r="T5" i="2"/>
  <c r="T131" i="2"/>
  <c r="T63" i="2"/>
  <c r="T38" i="2"/>
  <c r="T155" i="2"/>
  <c r="T80" i="2"/>
  <c r="T33" i="2"/>
  <c r="T100" i="2"/>
  <c r="T58" i="2"/>
  <c r="T34" i="2"/>
  <c r="T7" i="2"/>
  <c r="T143" i="2"/>
  <c r="T146" i="2"/>
  <c r="T70" i="2"/>
  <c r="T39" i="2"/>
  <c r="T27" i="2"/>
  <c r="T142" i="2"/>
  <c r="T114" i="2"/>
  <c r="T88" i="2"/>
  <c r="T66" i="2"/>
  <c r="T50" i="2"/>
  <c r="T67" i="2"/>
  <c r="T110" i="2"/>
  <c r="T109" i="2"/>
  <c r="T105" i="2"/>
  <c r="T104" i="3"/>
  <c r="T104" i="2" s="1"/>
  <c r="T96" i="2"/>
  <c r="T23" i="2"/>
  <c r="T19" i="2"/>
  <c r="T98" i="2"/>
  <c r="T74" i="2"/>
  <c r="T102" i="2"/>
  <c r="T52" i="2"/>
  <c r="T135" i="2"/>
  <c r="T20" i="2"/>
  <c r="T9" i="2"/>
  <c r="T137" i="2"/>
  <c r="T42" i="2"/>
  <c r="T159" i="2"/>
  <c r="T64" i="2"/>
  <c r="T56" i="2"/>
  <c r="T157" i="2"/>
  <c r="T113" i="2"/>
  <c r="T12" i="2"/>
  <c r="T79" i="2"/>
  <c r="T62" i="2"/>
  <c r="T123" i="2"/>
  <c r="T43" i="2"/>
  <c r="T152" i="2"/>
  <c r="T117" i="2"/>
  <c r="T84" i="2"/>
  <c r="T71" i="2"/>
  <c r="T57" i="2"/>
  <c r="T6" i="2"/>
  <c r="T10" i="2"/>
  <c r="T99" i="2"/>
  <c r="T91" i="2"/>
  <c r="T46" i="2"/>
  <c r="T45" i="3"/>
  <c r="T45" i="2" s="1"/>
  <c r="T103" i="2"/>
  <c r="T147" i="2"/>
  <c r="T118" i="2"/>
  <c r="T166" i="2"/>
  <c r="T47" i="2"/>
  <c r="T16" i="2"/>
  <c r="T119" i="2"/>
  <c r="T72" i="2"/>
  <c r="T141" i="2"/>
  <c r="T153" i="2"/>
  <c r="T15" i="2"/>
  <c r="T53" i="2"/>
  <c r="T29" i="2"/>
  <c r="T111" i="2"/>
  <c r="T75" i="2"/>
  <c r="T48" i="2"/>
  <c r="T37" i="2"/>
  <c r="T14" i="2"/>
  <c r="T51" i="2"/>
  <c r="T22" i="2"/>
  <c r="T73" i="2"/>
  <c r="T151" i="2"/>
  <c r="T41" i="2"/>
  <c r="T81" i="2"/>
  <c r="T31" i="2"/>
  <c r="T107" i="2"/>
  <c r="T13" i="2"/>
  <c r="BG164" i="2"/>
  <c r="BG159" i="2"/>
  <c r="BG162" i="2"/>
  <c r="BG152" i="2"/>
  <c r="BG124" i="2"/>
  <c r="BG120" i="2"/>
  <c r="BG116" i="2"/>
  <c r="BG112" i="2"/>
  <c r="BG108" i="2"/>
  <c r="BG169" i="2"/>
  <c r="BG144" i="2"/>
  <c r="BG165" i="2"/>
  <c r="BG156" i="2"/>
  <c r="BG114" i="2"/>
  <c r="BG109" i="2"/>
  <c r="BG155" i="2"/>
  <c r="BG139" i="2"/>
  <c r="BG115" i="2"/>
  <c r="BG154" i="2"/>
  <c r="BG143" i="2"/>
  <c r="BG96" i="2"/>
  <c r="BG87" i="2"/>
  <c r="BG82" i="3"/>
  <c r="BG82" i="2" s="1"/>
  <c r="BG83" i="2"/>
  <c r="BG131" i="2"/>
  <c r="BG126" i="3"/>
  <c r="BG126" i="2" s="1"/>
  <c r="BG127" i="2"/>
  <c r="BG92" i="2"/>
  <c r="BG18" i="2"/>
  <c r="BG125" i="2"/>
  <c r="BG123" i="2"/>
  <c r="BG101" i="2"/>
  <c r="BG98" i="2"/>
  <c r="BG89" i="2"/>
  <c r="BG85" i="2"/>
  <c r="BG11" i="2"/>
  <c r="BG150" i="2"/>
  <c r="BG148" i="3"/>
  <c r="BG148" i="2" s="1"/>
  <c r="BG149" i="2"/>
  <c r="BG137" i="2"/>
  <c r="BG104" i="3"/>
  <c r="BG104" i="2" s="1"/>
  <c r="BG105" i="2"/>
  <c r="BG86" i="2"/>
  <c r="BG44" i="2"/>
  <c r="BG40" i="2"/>
  <c r="BG36" i="2"/>
  <c r="BG32" i="2"/>
  <c r="BG28" i="2"/>
  <c r="BG3" i="3"/>
  <c r="BG3" i="2" s="1"/>
  <c r="BG4" i="2"/>
  <c r="BG134" i="2"/>
  <c r="BG94" i="2"/>
  <c r="BG76" i="2"/>
  <c r="BG48" i="2"/>
  <c r="BG17" i="2"/>
  <c r="BG160" i="2"/>
  <c r="BG136" i="2"/>
  <c r="BG129" i="2"/>
  <c r="BG64" i="2"/>
  <c r="BG38" i="2"/>
  <c r="BG33" i="2"/>
  <c r="BG20" i="2"/>
  <c r="BG135" i="2"/>
  <c r="BG91" i="2"/>
  <c r="BG138" i="2"/>
  <c r="BG42" i="2"/>
  <c r="BG122" i="2"/>
  <c r="BG75" i="2"/>
  <c r="BG67" i="2"/>
  <c r="BG56" i="2"/>
  <c r="BG47" i="2"/>
  <c r="BG16" i="2"/>
  <c r="BG133" i="2"/>
  <c r="BG62" i="2"/>
  <c r="BG54" i="2"/>
  <c r="BG37" i="2"/>
  <c r="BG30" i="2"/>
  <c r="BG146" i="2"/>
  <c r="BG97" i="2"/>
  <c r="BG65" i="2"/>
  <c r="BG55" i="2"/>
  <c r="BG117" i="2"/>
  <c r="BG39" i="2"/>
  <c r="BG128" i="2"/>
  <c r="BG110" i="2"/>
  <c r="BG107" i="2"/>
  <c r="BG103" i="2"/>
  <c r="BG100" i="2"/>
  <c r="BG81" i="2"/>
  <c r="BG66" i="2"/>
  <c r="BG53" i="2"/>
  <c r="BG80" i="2"/>
  <c r="BG26" i="2"/>
  <c r="BG50" i="2"/>
  <c r="BG166" i="2"/>
  <c r="BG153" i="2"/>
  <c r="BG111" i="2"/>
  <c r="BG74" i="2"/>
  <c r="BG19" i="2"/>
  <c r="BG60" i="3"/>
  <c r="BG60" i="2" s="1"/>
  <c r="BG61" i="2"/>
  <c r="BG51" i="2"/>
  <c r="BG5" i="2"/>
  <c r="BG158" i="2"/>
  <c r="BG113" i="2"/>
  <c r="BG41" i="2"/>
  <c r="BG12" i="2"/>
  <c r="BG141" i="2"/>
  <c r="BG57" i="2"/>
  <c r="BG157" i="2"/>
  <c r="BG35" i="2"/>
  <c r="BG9" i="2"/>
  <c r="BG142" i="2"/>
  <c r="BG95" i="2"/>
  <c r="BG88" i="2"/>
  <c r="BG31" i="2"/>
  <c r="BG23" i="2"/>
  <c r="BG14" i="2"/>
  <c r="BG147" i="2"/>
  <c r="BG140" i="2"/>
  <c r="BG73" i="2"/>
  <c r="BG34" i="2"/>
  <c r="BG8" i="2"/>
  <c r="BG22" i="2"/>
  <c r="BG145" i="2"/>
  <c r="BG119" i="2"/>
  <c r="BG118" i="2"/>
  <c r="BG13" i="2"/>
  <c r="BG58" i="2"/>
  <c r="BG27" i="2"/>
  <c r="BG161" i="2"/>
  <c r="BG151" i="2"/>
  <c r="BG84" i="2"/>
  <c r="BG45" i="3"/>
  <c r="BG45" i="2" s="1"/>
  <c r="BG46" i="2"/>
  <c r="BG7" i="2"/>
  <c r="BG163" i="2"/>
  <c r="BG106" i="2"/>
  <c r="BG72" i="2"/>
  <c r="BG167" i="2"/>
  <c r="BG93" i="2"/>
  <c r="BG15" i="2"/>
  <c r="BG21" i="2"/>
  <c r="BG121" i="2"/>
  <c r="BG79" i="2"/>
  <c r="BG77" i="2"/>
  <c r="BG132" i="2"/>
  <c r="BG52" i="2"/>
  <c r="BG10" i="2"/>
  <c r="BG90" i="2"/>
  <c r="BG63" i="2"/>
  <c r="BG102" i="2"/>
  <c r="BG43" i="2"/>
  <c r="BG49" i="2"/>
  <c r="BG71" i="2"/>
  <c r="BG68" i="2"/>
  <c r="BG130" i="2"/>
  <c r="BG69" i="2"/>
  <c r="BG78" i="2"/>
  <c r="BG70" i="2"/>
  <c r="BG99" i="2"/>
  <c r="BG24" i="3"/>
  <c r="BG24" i="2" s="1"/>
  <c r="BG25" i="2"/>
  <c r="BG168" i="2"/>
  <c r="BG6" i="2"/>
  <c r="BG29" i="2"/>
  <c r="W169" i="2"/>
  <c r="W165" i="2"/>
  <c r="W161" i="2"/>
  <c r="W157" i="2"/>
  <c r="W166" i="2"/>
  <c r="W156" i="2"/>
  <c r="W148" i="3"/>
  <c r="W148" i="2" s="1"/>
  <c r="W149" i="2"/>
  <c r="W123" i="2"/>
  <c r="W119" i="2"/>
  <c r="W115" i="2"/>
  <c r="W111" i="2"/>
  <c r="W107" i="2"/>
  <c r="W153" i="2"/>
  <c r="W131" i="2"/>
  <c r="W146" i="2"/>
  <c r="W141" i="2"/>
  <c r="W136" i="2"/>
  <c r="W106" i="2"/>
  <c r="W104" i="3"/>
  <c r="W104" i="2" s="1"/>
  <c r="W105" i="2"/>
  <c r="W139" i="2"/>
  <c r="W94" i="2"/>
  <c r="W78" i="2"/>
  <c r="W117" i="2"/>
  <c r="W159" i="2"/>
  <c r="W155" i="2"/>
  <c r="W93" i="2"/>
  <c r="W86" i="2"/>
  <c r="W168" i="2"/>
  <c r="W163" i="2"/>
  <c r="W158" i="2"/>
  <c r="W150" i="2"/>
  <c r="W147" i="2"/>
  <c r="W140" i="2"/>
  <c r="W130" i="2"/>
  <c r="W114" i="2"/>
  <c r="W56" i="2"/>
  <c r="W52" i="2"/>
  <c r="W48" i="2"/>
  <c r="W10" i="2"/>
  <c r="W128" i="2"/>
  <c r="W126" i="3"/>
  <c r="W126" i="2" s="1"/>
  <c r="W127" i="2"/>
  <c r="W116" i="2"/>
  <c r="W75" i="2"/>
  <c r="W23" i="2"/>
  <c r="W100" i="2"/>
  <c r="W97" i="2"/>
  <c r="W16" i="2"/>
  <c r="W109" i="2"/>
  <c r="W99" i="2"/>
  <c r="W95" i="2"/>
  <c r="W71" i="2"/>
  <c r="W66" i="2"/>
  <c r="W60" i="3"/>
  <c r="W60" i="2" s="1"/>
  <c r="W61" i="2"/>
  <c r="W164" i="2"/>
  <c r="W102" i="2"/>
  <c r="W55" i="2"/>
  <c r="W50" i="2"/>
  <c r="W31" i="2"/>
  <c r="W15" i="2"/>
  <c r="W154" i="2"/>
  <c r="W120" i="2"/>
  <c r="W88" i="2"/>
  <c r="W81" i="2"/>
  <c r="W22" i="2"/>
  <c r="W84" i="2"/>
  <c r="W76" i="2"/>
  <c r="W57" i="2"/>
  <c r="W33" i="2"/>
  <c r="W11" i="2"/>
  <c r="W113" i="2"/>
  <c r="W20" i="2"/>
  <c r="W14" i="2"/>
  <c r="W143" i="2"/>
  <c r="W124" i="2"/>
  <c r="W41" i="2"/>
  <c r="W162" i="2"/>
  <c r="W151" i="2"/>
  <c r="W6" i="2"/>
  <c r="W145" i="2"/>
  <c r="W121" i="2"/>
  <c r="W129" i="2"/>
  <c r="W122" i="2"/>
  <c r="W98" i="2"/>
  <c r="W92" i="2"/>
  <c r="W67" i="2"/>
  <c r="W44" i="2"/>
  <c r="W112" i="2"/>
  <c r="W135" i="2"/>
  <c r="W118" i="2"/>
  <c r="W74" i="2"/>
  <c r="W62" i="2"/>
  <c r="W51" i="2"/>
  <c r="W40" i="2"/>
  <c r="W28" i="2"/>
  <c r="W18" i="2"/>
  <c r="W134" i="2"/>
  <c r="W160" i="2"/>
  <c r="W137" i="2"/>
  <c r="W101" i="2"/>
  <c r="W125" i="2"/>
  <c r="W82" i="3"/>
  <c r="W82" i="2" s="1"/>
  <c r="W83" i="2"/>
  <c r="W70" i="2"/>
  <c r="W42" i="2"/>
  <c r="W27" i="2"/>
  <c r="W133" i="2"/>
  <c r="W77" i="2"/>
  <c r="W72" i="2"/>
  <c r="W29" i="2"/>
  <c r="W13" i="2"/>
  <c r="W38" i="2"/>
  <c r="W142" i="2"/>
  <c r="W108" i="2"/>
  <c r="W103" i="2"/>
  <c r="W36" i="2"/>
  <c r="W144" i="2"/>
  <c r="W87" i="2"/>
  <c r="W26" i="2"/>
  <c r="W132" i="2"/>
  <c r="W49" i="2"/>
  <c r="W96" i="2"/>
  <c r="W90" i="2"/>
  <c r="W89" i="2"/>
  <c r="W63" i="2"/>
  <c r="W30" i="2"/>
  <c r="W12" i="2"/>
  <c r="W39" i="2"/>
  <c r="W19" i="2"/>
  <c r="W5" i="2"/>
  <c r="W54" i="2"/>
  <c r="W69" i="2"/>
  <c r="W43" i="2"/>
  <c r="W35" i="2"/>
  <c r="W3" i="3"/>
  <c r="W3" i="2" s="1"/>
  <c r="W4" i="2"/>
  <c r="W37" i="2"/>
  <c r="W8" i="2"/>
  <c r="W85" i="2"/>
  <c r="W79" i="2"/>
  <c r="W80" i="2"/>
  <c r="W17" i="2"/>
  <c r="W53" i="2"/>
  <c r="W9" i="2"/>
  <c r="W152" i="2"/>
  <c r="W91" i="2"/>
  <c r="W110" i="2"/>
  <c r="W58" i="2"/>
  <c r="W21" i="2"/>
  <c r="W73" i="2"/>
  <c r="W7" i="2"/>
  <c r="W64" i="2"/>
  <c r="W65" i="2"/>
  <c r="W167" i="2"/>
  <c r="W34" i="2"/>
  <c r="W32" i="2"/>
  <c r="W138" i="2"/>
  <c r="W25" i="2"/>
  <c r="W24" i="3"/>
  <c r="W24" i="2" s="1"/>
  <c r="W45" i="3"/>
  <c r="W45" i="2" s="1"/>
  <c r="W46" i="2"/>
  <c r="W68" i="2"/>
  <c r="W47" i="2"/>
  <c r="BH164" i="2"/>
  <c r="BH159" i="2"/>
  <c r="BH165" i="2"/>
  <c r="BH154" i="2"/>
  <c r="BH150" i="2"/>
  <c r="BH152" i="2"/>
  <c r="BH124" i="2"/>
  <c r="BH120" i="2"/>
  <c r="BH116" i="2"/>
  <c r="BH112" i="2"/>
  <c r="BH108" i="2"/>
  <c r="BH169" i="2"/>
  <c r="BH144" i="2"/>
  <c r="BH140" i="2"/>
  <c r="BH136" i="2"/>
  <c r="BH132" i="2"/>
  <c r="BH128" i="2"/>
  <c r="BH156" i="2"/>
  <c r="BH114" i="2"/>
  <c r="BH109" i="2"/>
  <c r="BH155" i="2"/>
  <c r="BH139" i="2"/>
  <c r="BH115" i="2"/>
  <c r="BH166" i="2"/>
  <c r="BH134" i="2"/>
  <c r="BH129" i="2"/>
  <c r="BH101" i="2"/>
  <c r="BH97" i="2"/>
  <c r="BH93" i="2"/>
  <c r="BH89" i="2"/>
  <c r="BH143" i="2"/>
  <c r="BH96" i="2"/>
  <c r="BH87" i="2"/>
  <c r="BH82" i="3"/>
  <c r="BH82" i="2" s="1"/>
  <c r="BH83" i="2"/>
  <c r="BH131" i="2"/>
  <c r="BH104" i="3"/>
  <c r="BH104" i="2" s="1"/>
  <c r="BH105" i="2"/>
  <c r="BH125" i="2"/>
  <c r="BH123" i="2"/>
  <c r="BH98" i="2"/>
  <c r="BH85" i="2"/>
  <c r="BH11" i="2"/>
  <c r="BH148" i="3"/>
  <c r="BH148" i="2" s="1"/>
  <c r="BH149" i="2"/>
  <c r="BH137" i="2"/>
  <c r="BH86" i="2"/>
  <c r="BH44" i="2"/>
  <c r="BH40" i="2"/>
  <c r="BH36" i="2"/>
  <c r="BH32" i="2"/>
  <c r="BH28" i="2"/>
  <c r="BH3" i="3"/>
  <c r="BH3" i="2" s="1"/>
  <c r="BH4" i="2"/>
  <c r="BH160" i="2"/>
  <c r="BH113" i="2"/>
  <c r="BH81" i="2"/>
  <c r="BH69" i="2"/>
  <c r="BH65" i="2"/>
  <c r="BH61" i="2"/>
  <c r="BH60" i="3"/>
  <c r="BH60" i="2" s="1"/>
  <c r="BH17" i="2"/>
  <c r="BH64" i="2"/>
  <c r="BH38" i="2"/>
  <c r="BH33" i="2"/>
  <c r="BH20" i="2"/>
  <c r="BH135" i="2"/>
  <c r="BH91" i="2"/>
  <c r="BH162" i="2"/>
  <c r="BH121" i="2"/>
  <c r="BH58" i="2"/>
  <c r="BH53" i="2"/>
  <c r="BH39" i="2"/>
  <c r="BH7" i="2"/>
  <c r="BH122" i="2"/>
  <c r="BH75" i="2"/>
  <c r="BH67" i="2"/>
  <c r="BH56" i="2"/>
  <c r="BH47" i="2"/>
  <c r="BH16" i="2"/>
  <c r="BH133" i="2"/>
  <c r="BH62" i="2"/>
  <c r="BH54" i="2"/>
  <c r="BH37" i="2"/>
  <c r="BH30" i="2"/>
  <c r="BH146" i="2"/>
  <c r="BH117" i="2"/>
  <c r="BH22" i="2"/>
  <c r="BH19" i="2"/>
  <c r="BH13" i="2"/>
  <c r="BH158" i="2"/>
  <c r="BH110" i="2"/>
  <c r="BH107" i="2"/>
  <c r="BH103" i="2"/>
  <c r="BH100" i="2"/>
  <c r="BH66" i="2"/>
  <c r="BH168" i="2"/>
  <c r="BH94" i="2"/>
  <c r="BH52" i="2"/>
  <c r="BH157" i="2"/>
  <c r="BH153" i="2"/>
  <c r="BH111" i="2"/>
  <c r="BH74" i="2"/>
  <c r="BH78" i="2"/>
  <c r="BH23" i="2"/>
  <c r="BH51" i="2"/>
  <c r="BH50" i="2"/>
  <c r="BH5" i="2"/>
  <c r="BH106" i="2"/>
  <c r="BH142" i="2"/>
  <c r="BH68" i="2"/>
  <c r="BH95" i="2"/>
  <c r="BH88" i="2"/>
  <c r="BH55" i="2"/>
  <c r="BH31" i="2"/>
  <c r="BH14" i="2"/>
  <c r="BH141" i="2"/>
  <c r="BH29" i="2"/>
  <c r="BH147" i="2"/>
  <c r="BH73" i="2"/>
  <c r="BH35" i="2"/>
  <c r="BH9" i="2"/>
  <c r="BH57" i="2"/>
  <c r="BH163" i="2"/>
  <c r="BH72" i="2"/>
  <c r="BH27" i="2"/>
  <c r="BH161" i="2"/>
  <c r="BH151" i="2"/>
  <c r="BH84" i="2"/>
  <c r="BH167" i="2"/>
  <c r="BH15" i="2"/>
  <c r="BH145" i="2"/>
  <c r="BH119" i="2"/>
  <c r="BH118" i="2"/>
  <c r="BH21" i="2"/>
  <c r="BH41" i="2"/>
  <c r="BH45" i="3"/>
  <c r="BH45" i="2" s="1"/>
  <c r="BH46" i="2"/>
  <c r="BH6" i="2"/>
  <c r="BH42" i="2"/>
  <c r="BH71" i="2"/>
  <c r="BH63" i="2"/>
  <c r="BH48" i="2"/>
  <c r="BH43" i="2"/>
  <c r="BH76" i="2"/>
  <c r="BH102" i="2"/>
  <c r="BH26" i="2"/>
  <c r="BH70" i="2"/>
  <c r="BH10" i="2"/>
  <c r="BH126" i="3"/>
  <c r="BH126" i="2" s="1"/>
  <c r="BH127" i="2"/>
  <c r="BH90" i="2"/>
  <c r="BH130" i="2"/>
  <c r="BH80" i="2"/>
  <c r="BH12" i="2"/>
  <c r="BH92" i="2"/>
  <c r="BH34" i="2"/>
  <c r="BH138" i="2"/>
  <c r="BH49" i="2"/>
  <c r="BH8" i="2"/>
  <c r="BH79" i="2"/>
  <c r="BH77" i="2"/>
  <c r="BH18" i="2"/>
  <c r="BH99" i="2"/>
  <c r="BH24" i="3"/>
  <c r="BH24" i="2" s="1"/>
  <c r="BH25" i="2"/>
  <c r="AQ169" i="2"/>
  <c r="AQ165" i="2"/>
  <c r="AQ161" i="2"/>
  <c r="AQ157" i="2"/>
  <c r="AQ156" i="2"/>
  <c r="AQ168" i="2"/>
  <c r="AQ154" i="2"/>
  <c r="AQ148" i="3"/>
  <c r="AQ148" i="2" s="1"/>
  <c r="AQ149" i="2"/>
  <c r="AQ123" i="2"/>
  <c r="AQ119" i="2"/>
  <c r="AQ115" i="2"/>
  <c r="AQ111" i="2"/>
  <c r="AQ107" i="2"/>
  <c r="AQ145" i="2"/>
  <c r="AQ140" i="2"/>
  <c r="AQ130" i="2"/>
  <c r="AQ151" i="2"/>
  <c r="AQ121" i="2"/>
  <c r="AQ116" i="2"/>
  <c r="AQ162" i="2"/>
  <c r="AQ78" i="2"/>
  <c r="AQ137" i="2"/>
  <c r="AQ135" i="2"/>
  <c r="AQ113" i="2"/>
  <c r="AQ94" i="2"/>
  <c r="AQ106" i="2"/>
  <c r="AQ86" i="2"/>
  <c r="AQ159" i="2"/>
  <c r="AQ142" i="2"/>
  <c r="AQ133" i="2"/>
  <c r="AQ110" i="2"/>
  <c r="AQ108" i="2"/>
  <c r="AQ102" i="2"/>
  <c r="AQ99" i="2"/>
  <c r="AQ76" i="2"/>
  <c r="AQ56" i="2"/>
  <c r="AQ52" i="2"/>
  <c r="AQ48" i="2"/>
  <c r="AQ10" i="2"/>
  <c r="AQ167" i="2"/>
  <c r="AQ164" i="2"/>
  <c r="AQ141" i="2"/>
  <c r="AQ109" i="2"/>
  <c r="AQ90" i="2"/>
  <c r="AQ77" i="2"/>
  <c r="AQ23" i="2"/>
  <c r="AQ131" i="2"/>
  <c r="AQ117" i="2"/>
  <c r="AQ87" i="2"/>
  <c r="AQ75" i="2"/>
  <c r="AQ16" i="2"/>
  <c r="AQ103" i="2"/>
  <c r="AQ54" i="2"/>
  <c r="AQ49" i="2"/>
  <c r="AQ35" i="2"/>
  <c r="AQ21" i="2"/>
  <c r="AQ11" i="2"/>
  <c r="AQ132" i="2"/>
  <c r="AQ74" i="2"/>
  <c r="AQ166" i="2"/>
  <c r="AQ152" i="2"/>
  <c r="AQ146" i="2"/>
  <c r="AQ139" i="2"/>
  <c r="AQ96" i="2"/>
  <c r="AQ84" i="2"/>
  <c r="AQ79" i="2"/>
  <c r="AQ40" i="2"/>
  <c r="AQ30" i="2"/>
  <c r="AQ24" i="3"/>
  <c r="AQ24" i="2" s="1"/>
  <c r="AQ25" i="2"/>
  <c r="AQ18" i="2"/>
  <c r="AQ8" i="2"/>
  <c r="AQ58" i="2"/>
  <c r="AQ36" i="2"/>
  <c r="AQ34" i="2"/>
  <c r="AQ31" i="2"/>
  <c r="AQ15" i="2"/>
  <c r="AQ153" i="2"/>
  <c r="AQ97" i="2"/>
  <c r="AQ93" i="2"/>
  <c r="AQ89" i="2"/>
  <c r="AQ71" i="2"/>
  <c r="AQ66" i="2"/>
  <c r="AQ43" i="2"/>
  <c r="AQ114" i="2"/>
  <c r="AQ60" i="3"/>
  <c r="AQ60" i="2" s="1"/>
  <c r="AQ61" i="2"/>
  <c r="AQ53" i="2"/>
  <c r="AQ29" i="2"/>
  <c r="AQ5" i="2"/>
  <c r="AQ147" i="2"/>
  <c r="AQ118" i="2"/>
  <c r="AQ88" i="2"/>
  <c r="AQ129" i="2"/>
  <c r="AQ160" i="2"/>
  <c r="AQ92" i="2"/>
  <c r="AQ72" i="2"/>
  <c r="AQ45" i="3"/>
  <c r="AQ45" i="2" s="1"/>
  <c r="AQ46" i="2"/>
  <c r="AQ144" i="2"/>
  <c r="AQ127" i="2"/>
  <c r="AQ126" i="3"/>
  <c r="AQ126" i="2" s="1"/>
  <c r="AQ37" i="2"/>
  <c r="AQ158" i="2"/>
  <c r="AQ95" i="2"/>
  <c r="AQ73" i="2"/>
  <c r="AQ155" i="2"/>
  <c r="AQ69" i="2"/>
  <c r="AQ64" i="2"/>
  <c r="AQ13" i="2"/>
  <c r="AQ47" i="2"/>
  <c r="AQ32" i="2"/>
  <c r="AQ17" i="2"/>
  <c r="AQ9" i="2"/>
  <c r="AQ136" i="2"/>
  <c r="AQ63" i="2"/>
  <c r="AQ26" i="2"/>
  <c r="AQ112" i="2"/>
  <c r="AQ85" i="2"/>
  <c r="AQ19" i="2"/>
  <c r="AQ128" i="2"/>
  <c r="AQ62" i="2"/>
  <c r="AQ44" i="2"/>
  <c r="AQ104" i="3"/>
  <c r="AQ104" i="2" s="1"/>
  <c r="AQ105" i="2"/>
  <c r="AQ67" i="2"/>
  <c r="AQ42" i="2"/>
  <c r="AQ33" i="2"/>
  <c r="AQ14" i="2"/>
  <c r="AQ51" i="2"/>
  <c r="AQ120" i="2"/>
  <c r="AQ65" i="2"/>
  <c r="AQ68" i="2"/>
  <c r="AQ124" i="2"/>
  <c r="AQ28" i="2"/>
  <c r="AQ163" i="2"/>
  <c r="AQ22" i="2"/>
  <c r="AQ98" i="2"/>
  <c r="AQ38" i="2"/>
  <c r="AQ3" i="3"/>
  <c r="AQ3" i="2" s="1"/>
  <c r="AQ4" i="2"/>
  <c r="AQ150" i="2"/>
  <c r="AQ41" i="2"/>
  <c r="AQ125" i="2"/>
  <c r="AQ50" i="2"/>
  <c r="AQ143" i="2"/>
  <c r="AQ82" i="3"/>
  <c r="AQ82" i="2" s="1"/>
  <c r="AQ83" i="2"/>
  <c r="AQ80" i="2"/>
  <c r="AQ7" i="2"/>
  <c r="AQ134" i="2"/>
  <c r="AQ122" i="2"/>
  <c r="AQ70" i="2"/>
  <c r="AQ91" i="2"/>
  <c r="AQ39" i="2"/>
  <c r="AQ57" i="2"/>
  <c r="AQ100" i="2"/>
  <c r="AQ27" i="2"/>
  <c r="AQ12" i="2"/>
  <c r="AQ81" i="2"/>
  <c r="AQ138" i="2"/>
  <c r="AQ20" i="2"/>
  <c r="AQ101" i="2"/>
  <c r="AQ55" i="2"/>
  <c r="AQ6" i="2"/>
  <c r="AL166" i="2"/>
  <c r="AL162" i="2"/>
  <c r="AL158" i="2"/>
  <c r="AL164" i="2"/>
  <c r="AL159" i="2"/>
  <c r="AL165" i="2"/>
  <c r="AL161" i="2"/>
  <c r="AL153" i="2"/>
  <c r="AL124" i="2"/>
  <c r="AL120" i="2"/>
  <c r="AL116" i="2"/>
  <c r="AL112" i="2"/>
  <c r="AL108" i="2"/>
  <c r="AL139" i="2"/>
  <c r="AL115" i="2"/>
  <c r="AL134" i="2"/>
  <c r="AL129" i="2"/>
  <c r="AL140" i="2"/>
  <c r="AL167" i="2"/>
  <c r="AL157" i="2"/>
  <c r="AL145" i="2"/>
  <c r="AL128" i="2"/>
  <c r="AL121" i="2"/>
  <c r="AL104" i="3"/>
  <c r="AL104" i="2" s="1"/>
  <c r="AL105" i="2"/>
  <c r="AL79" i="2"/>
  <c r="AL156" i="2"/>
  <c r="AL152" i="2"/>
  <c r="AL150" i="2"/>
  <c r="AL147" i="2"/>
  <c r="AL133" i="2"/>
  <c r="AL111" i="2"/>
  <c r="AL109" i="2"/>
  <c r="AL96" i="2"/>
  <c r="AL151" i="2"/>
  <c r="AL87" i="2"/>
  <c r="AL82" i="3"/>
  <c r="AL82" i="2" s="1"/>
  <c r="AL83" i="2"/>
  <c r="AL169" i="2"/>
  <c r="AL143" i="2"/>
  <c r="AL86" i="2"/>
  <c r="AL57" i="2"/>
  <c r="AL53" i="2"/>
  <c r="AL49" i="2"/>
  <c r="AL5" i="2"/>
  <c r="AL132" i="2"/>
  <c r="AL119" i="2"/>
  <c r="AL93" i="2"/>
  <c r="AL81" i="2"/>
  <c r="AL18" i="2"/>
  <c r="AL142" i="2"/>
  <c r="AL110" i="2"/>
  <c r="AL11" i="2"/>
  <c r="AL144" i="2"/>
  <c r="AL131" i="2"/>
  <c r="AL85" i="2"/>
  <c r="AL80" i="2"/>
  <c r="AL44" i="2"/>
  <c r="AL168" i="2"/>
  <c r="AL149" i="2"/>
  <c r="AL148" i="3"/>
  <c r="AL148" i="2" s="1"/>
  <c r="AL126" i="3"/>
  <c r="AL126" i="2" s="1"/>
  <c r="AL127" i="2"/>
  <c r="AL123" i="2"/>
  <c r="AL107" i="2"/>
  <c r="AL65" i="2"/>
  <c r="AL58" i="2"/>
  <c r="AL39" i="2"/>
  <c r="AL117" i="2"/>
  <c r="AL100" i="2"/>
  <c r="AL73" i="2"/>
  <c r="AL94" i="2"/>
  <c r="AL72" i="2"/>
  <c r="AL95" i="2"/>
  <c r="AL78" i="2"/>
  <c r="AL51" i="2"/>
  <c r="AL9" i="2"/>
  <c r="AL106" i="2"/>
  <c r="AL64" i="2"/>
  <c r="AL36" i="2"/>
  <c r="AL34" i="2"/>
  <c r="AL163" i="2"/>
  <c r="AL135" i="2"/>
  <c r="AL98" i="2"/>
  <c r="AL91" i="2"/>
  <c r="AL75" i="2"/>
  <c r="AL62" i="2"/>
  <c r="AL60" i="3"/>
  <c r="AL60" i="2" s="1"/>
  <c r="AL61" i="2"/>
  <c r="AL50" i="2"/>
  <c r="AL48" i="2"/>
  <c r="AL37" i="2"/>
  <c r="AL27" i="2"/>
  <c r="AL16" i="2"/>
  <c r="AL10" i="2"/>
  <c r="AL137" i="2"/>
  <c r="AL76" i="2"/>
  <c r="AL26" i="2"/>
  <c r="AL21" i="2"/>
  <c r="AL17" i="2"/>
  <c r="AL14" i="2"/>
  <c r="AL12" i="2"/>
  <c r="AL4" i="2"/>
  <c r="AL3" i="3"/>
  <c r="AL3" i="2" s="1"/>
  <c r="AL154" i="2"/>
  <c r="AL118" i="2"/>
  <c r="AL113" i="2"/>
  <c r="AL88" i="2"/>
  <c r="AL23" i="2"/>
  <c r="AL19" i="2"/>
  <c r="AL15" i="2"/>
  <c r="AL84" i="2"/>
  <c r="AL45" i="3"/>
  <c r="AL45" i="2" s="1"/>
  <c r="AL46" i="2"/>
  <c r="AL141" i="2"/>
  <c r="AL63" i="2"/>
  <c r="AL31" i="2"/>
  <c r="AL30" i="2"/>
  <c r="AL97" i="2"/>
  <c r="AL77" i="2"/>
  <c r="AL42" i="2"/>
  <c r="AL8" i="2"/>
  <c r="AL138" i="2"/>
  <c r="AL69" i="2"/>
  <c r="AL130" i="2"/>
  <c r="AL101" i="2"/>
  <c r="AL56" i="2"/>
  <c r="AL43" i="2"/>
  <c r="AL136" i="2"/>
  <c r="AL90" i="2"/>
  <c r="AL89" i="2"/>
  <c r="AL67" i="2"/>
  <c r="AL146" i="2"/>
  <c r="AL160" i="2"/>
  <c r="AL102" i="2"/>
  <c r="AL55" i="2"/>
  <c r="AL20" i="2"/>
  <c r="AL54" i="2"/>
  <c r="AL68" i="2"/>
  <c r="AL155" i="2"/>
  <c r="AL38" i="2"/>
  <c r="AL122" i="2"/>
  <c r="AL47" i="2"/>
  <c r="AL24" i="3"/>
  <c r="AL24" i="2" s="1"/>
  <c r="AL25" i="2"/>
  <c r="AL114" i="2"/>
  <c r="AL74" i="2"/>
  <c r="AL28" i="2"/>
  <c r="AL66" i="2"/>
  <c r="AL35" i="2"/>
  <c r="AL29" i="2"/>
  <c r="AL99" i="2"/>
  <c r="AL125" i="2"/>
  <c r="AL103" i="2"/>
  <c r="AL32" i="2"/>
  <c r="AL33" i="2"/>
  <c r="AL6" i="2"/>
  <c r="AL92" i="2"/>
  <c r="AL22" i="2"/>
  <c r="AL52" i="2"/>
  <c r="AL41" i="2"/>
  <c r="AL13" i="2"/>
  <c r="AL7" i="2"/>
  <c r="AL40" i="2"/>
  <c r="AL71" i="2"/>
  <c r="AL70" i="2"/>
  <c r="AK166" i="2"/>
  <c r="AK162" i="2"/>
  <c r="AK158" i="2"/>
  <c r="AK151" i="2"/>
  <c r="AK164" i="2"/>
  <c r="AK159" i="2"/>
  <c r="AK165" i="2"/>
  <c r="AK152" i="2"/>
  <c r="AK145" i="2"/>
  <c r="AK141" i="2"/>
  <c r="AK137" i="2"/>
  <c r="AK133" i="2"/>
  <c r="AK129" i="2"/>
  <c r="AK163" i="2"/>
  <c r="AK154" i="2"/>
  <c r="AK114" i="2"/>
  <c r="AK109" i="2"/>
  <c r="AK139" i="2"/>
  <c r="AK120" i="2"/>
  <c r="AK115" i="2"/>
  <c r="AK161" i="2"/>
  <c r="AK134" i="2"/>
  <c r="AK140" i="2"/>
  <c r="AK138" i="2"/>
  <c r="AK123" i="2"/>
  <c r="AK116" i="2"/>
  <c r="AK97" i="2"/>
  <c r="AK167" i="2"/>
  <c r="AK157" i="2"/>
  <c r="AK128" i="2"/>
  <c r="AK121" i="2"/>
  <c r="AK104" i="3"/>
  <c r="AK104" i="2" s="1"/>
  <c r="AK105" i="2"/>
  <c r="AK79" i="2"/>
  <c r="AK156" i="2"/>
  <c r="AK150" i="2"/>
  <c r="AK147" i="2"/>
  <c r="AK111" i="2"/>
  <c r="AK96" i="2"/>
  <c r="AK153" i="2"/>
  <c r="AK135" i="2"/>
  <c r="AK85" i="2"/>
  <c r="AK70" i="2"/>
  <c r="AK66" i="2"/>
  <c r="AK62" i="2"/>
  <c r="AK12" i="2"/>
  <c r="AK169" i="2"/>
  <c r="AK143" i="2"/>
  <c r="AK86" i="2"/>
  <c r="AK57" i="2"/>
  <c r="AK53" i="2"/>
  <c r="AK49" i="2"/>
  <c r="AK5" i="2"/>
  <c r="AK132" i="2"/>
  <c r="AK119" i="2"/>
  <c r="AK93" i="2"/>
  <c r="AK81" i="2"/>
  <c r="AK18" i="2"/>
  <c r="AK112" i="2"/>
  <c r="AK64" i="2"/>
  <c r="AK38" i="2"/>
  <c r="AK33" i="2"/>
  <c r="AK20" i="2"/>
  <c r="AK144" i="2"/>
  <c r="AK131" i="2"/>
  <c r="AK87" i="2"/>
  <c r="AK80" i="2"/>
  <c r="AK44" i="2"/>
  <c r="AK168" i="2"/>
  <c r="AK148" i="3"/>
  <c r="AK148" i="2" s="1"/>
  <c r="AK149" i="2"/>
  <c r="AK126" i="3"/>
  <c r="AK126" i="2" s="1"/>
  <c r="AK127" i="2"/>
  <c r="AK107" i="2"/>
  <c r="AK65" i="2"/>
  <c r="AK58" i="2"/>
  <c r="AK39" i="2"/>
  <c r="AK7" i="2"/>
  <c r="AK125" i="2"/>
  <c r="AK69" i="2"/>
  <c r="AK27" i="2"/>
  <c r="AK24" i="3"/>
  <c r="AK24" i="2" s="1"/>
  <c r="AK25" i="2"/>
  <c r="AK94" i="2"/>
  <c r="AK72" i="2"/>
  <c r="AK95" i="2"/>
  <c r="AK78" i="2"/>
  <c r="AK51" i="2"/>
  <c r="AK9" i="2"/>
  <c r="AK82" i="3"/>
  <c r="AK82" i="2" s="1"/>
  <c r="AK83" i="2"/>
  <c r="AK63" i="2"/>
  <c r="AK36" i="2"/>
  <c r="AK98" i="2"/>
  <c r="AK91" i="2"/>
  <c r="AK75" i="2"/>
  <c r="AK61" i="2"/>
  <c r="AK60" i="3"/>
  <c r="AK60" i="2" s="1"/>
  <c r="AK50" i="2"/>
  <c r="AK48" i="2"/>
  <c r="AK37" i="2"/>
  <c r="AK16" i="2"/>
  <c r="AK10" i="2"/>
  <c r="AK108" i="2"/>
  <c r="AK76" i="2"/>
  <c r="AK26" i="2"/>
  <c r="AK21" i="2"/>
  <c r="AK17" i="2"/>
  <c r="AK14" i="2"/>
  <c r="AK4" i="2"/>
  <c r="AK3" i="3"/>
  <c r="AK3" i="2" s="1"/>
  <c r="AK52" i="2"/>
  <c r="AK42" i="2"/>
  <c r="AK84" i="2"/>
  <c r="AK45" i="3"/>
  <c r="AK45" i="2" s="1"/>
  <c r="AK46" i="2"/>
  <c r="AK8" i="2"/>
  <c r="AK31" i="2"/>
  <c r="AK30" i="2"/>
  <c r="AK74" i="2"/>
  <c r="AK54" i="2"/>
  <c r="AK90" i="2"/>
  <c r="AK67" i="2"/>
  <c r="AK117" i="2"/>
  <c r="AK118" i="2"/>
  <c r="AK106" i="2"/>
  <c r="AK89" i="2"/>
  <c r="AK15" i="2"/>
  <c r="AK130" i="2"/>
  <c r="AK101" i="2"/>
  <c r="AK56" i="2"/>
  <c r="AK136" i="2"/>
  <c r="AK11" i="2"/>
  <c r="AK35" i="2"/>
  <c r="AK34" i="2"/>
  <c r="AK68" i="2"/>
  <c r="AK47" i="2"/>
  <c r="AK29" i="2"/>
  <c r="AK160" i="2"/>
  <c r="AK102" i="2"/>
  <c r="AK55" i="2"/>
  <c r="AK155" i="2"/>
  <c r="AK73" i="2"/>
  <c r="AK124" i="2"/>
  <c r="AK28" i="2"/>
  <c r="AK113" i="2"/>
  <c r="AK122" i="2"/>
  <c r="AK23" i="2"/>
  <c r="AK22" i="2"/>
  <c r="AK19" i="2"/>
  <c r="AK40" i="2"/>
  <c r="AK41" i="2"/>
  <c r="AK32" i="2"/>
  <c r="AK146" i="2"/>
  <c r="AK99" i="2"/>
  <c r="AK92" i="2"/>
  <c r="AK43" i="2"/>
  <c r="AK110" i="2"/>
  <c r="AK100" i="2"/>
  <c r="AK142" i="2"/>
  <c r="AK13" i="2"/>
  <c r="AK77" i="2"/>
  <c r="AK6" i="2"/>
  <c r="AK103" i="2"/>
  <c r="AK71" i="2"/>
  <c r="AK88" i="2"/>
  <c r="BB158" i="2"/>
  <c r="BB125" i="2"/>
  <c r="BB121" i="2"/>
  <c r="BB117" i="2"/>
  <c r="BB113" i="2"/>
  <c r="BB109" i="2"/>
  <c r="BB162" i="2"/>
  <c r="BB160" i="2"/>
  <c r="BB168" i="2"/>
  <c r="BB142" i="2"/>
  <c r="BB167" i="2"/>
  <c r="BB150" i="2"/>
  <c r="BB133" i="2"/>
  <c r="BB128" i="2"/>
  <c r="BB118" i="2"/>
  <c r="BB148" i="3"/>
  <c r="BB148" i="2" s="1"/>
  <c r="BB149" i="2"/>
  <c r="BB129" i="2"/>
  <c r="BB122" i="2"/>
  <c r="BB89" i="2"/>
  <c r="BB164" i="2"/>
  <c r="BB141" i="2"/>
  <c r="BB134" i="2"/>
  <c r="BB119" i="2"/>
  <c r="BB112" i="2"/>
  <c r="BB110" i="2"/>
  <c r="BB99" i="2"/>
  <c r="BB84" i="2"/>
  <c r="BB146" i="2"/>
  <c r="BB98" i="2"/>
  <c r="BB88" i="2"/>
  <c r="BB138" i="2"/>
  <c r="BB115" i="2"/>
  <c r="BB13" i="2"/>
  <c r="BB139" i="2"/>
  <c r="BB130" i="2"/>
  <c r="BB114" i="2"/>
  <c r="BB91" i="2"/>
  <c r="BB6" i="2"/>
  <c r="BB165" i="2"/>
  <c r="BB103" i="2"/>
  <c r="BB95" i="2"/>
  <c r="BB41" i="2"/>
  <c r="BB37" i="2"/>
  <c r="BB33" i="2"/>
  <c r="BB29" i="2"/>
  <c r="BB25" i="2"/>
  <c r="BB24" i="3"/>
  <c r="BB24" i="2" s="1"/>
  <c r="BB19" i="2"/>
  <c r="BB81" i="2"/>
  <c r="BB51" i="2"/>
  <c r="BB45" i="3"/>
  <c r="BB45" i="2" s="1"/>
  <c r="BB46" i="2"/>
  <c r="BB27" i="2"/>
  <c r="BB153" i="2"/>
  <c r="BB147" i="2"/>
  <c r="BB108" i="2"/>
  <c r="BB102" i="2"/>
  <c r="BB57" i="2"/>
  <c r="BB52" i="2"/>
  <c r="BB23" i="2"/>
  <c r="BB83" i="2"/>
  <c r="BB82" i="3"/>
  <c r="BB82" i="2" s="1"/>
  <c r="BB68" i="2"/>
  <c r="BB42" i="2"/>
  <c r="BB161" i="2"/>
  <c r="BB100" i="2"/>
  <c r="BB65" i="2"/>
  <c r="BB40" i="2"/>
  <c r="BB20" i="2"/>
  <c r="BB14" i="2"/>
  <c r="BB140" i="2"/>
  <c r="BB124" i="2"/>
  <c r="BB107" i="2"/>
  <c r="BB50" i="2"/>
  <c r="BB10" i="2"/>
  <c r="BB155" i="2"/>
  <c r="BB143" i="2"/>
  <c r="BB135" i="2"/>
  <c r="BB8" i="2"/>
  <c r="BB79" i="2"/>
  <c r="BB67" i="2"/>
  <c r="BB34" i="2"/>
  <c r="BB169" i="2"/>
  <c r="BB136" i="2"/>
  <c r="BB80" i="2"/>
  <c r="BB159" i="2"/>
  <c r="BB104" i="3"/>
  <c r="BB104" i="2" s="1"/>
  <c r="BB105" i="2"/>
  <c r="BB97" i="2"/>
  <c r="BB93" i="2"/>
  <c r="BB85" i="2"/>
  <c r="BB120" i="2"/>
  <c r="BB101" i="2"/>
  <c r="BB54" i="2"/>
  <c r="BB49" i="2"/>
  <c r="BB166" i="2"/>
  <c r="BB157" i="2"/>
  <c r="BB154" i="2"/>
  <c r="BB116" i="2"/>
  <c r="BB77" i="2"/>
  <c r="BB70" i="2"/>
  <c r="BB44" i="2"/>
  <c r="BB39" i="2"/>
  <c r="BB22" i="2"/>
  <c r="BB4" i="2"/>
  <c r="BB3" i="3"/>
  <c r="BB3" i="2" s="1"/>
  <c r="BB87" i="2"/>
  <c r="BB66" i="2"/>
  <c r="BB58" i="2"/>
  <c r="BB18" i="2"/>
  <c r="BB152" i="2"/>
  <c r="BB106" i="2"/>
  <c r="BB78" i="2"/>
  <c r="BB47" i="2"/>
  <c r="BB31" i="2"/>
  <c r="BB156" i="2"/>
  <c r="BB144" i="2"/>
  <c r="BB43" i="2"/>
  <c r="BB26" i="2"/>
  <c r="BB21" i="2"/>
  <c r="BB55" i="2"/>
  <c r="BB111" i="2"/>
  <c r="BB92" i="2"/>
  <c r="BB75" i="2"/>
  <c r="BB71" i="2"/>
  <c r="BB64" i="2"/>
  <c r="BB62" i="2"/>
  <c r="BB12" i="2"/>
  <c r="BB132" i="2"/>
  <c r="BB76" i="2"/>
  <c r="BB17" i="2"/>
  <c r="BB28" i="2"/>
  <c r="BB145" i="2"/>
  <c r="BB151" i="2"/>
  <c r="BB126" i="3"/>
  <c r="BB126" i="2" s="1"/>
  <c r="BB127" i="2"/>
  <c r="BB48" i="2"/>
  <c r="BB38" i="2"/>
  <c r="BB137" i="2"/>
  <c r="BB73" i="2"/>
  <c r="BB15" i="2"/>
  <c r="BB7" i="2"/>
  <c r="BB94" i="2"/>
  <c r="BB72" i="2"/>
  <c r="BB123" i="2"/>
  <c r="BB60" i="3"/>
  <c r="BB60" i="2" s="1"/>
  <c r="BB61" i="2"/>
  <c r="BB74" i="2"/>
  <c r="BB163" i="2"/>
  <c r="BB32" i="2"/>
  <c r="BB36" i="2"/>
  <c r="BB30" i="2"/>
  <c r="BB5" i="2"/>
  <c r="BB56" i="2"/>
  <c r="BB131" i="2"/>
  <c r="BB9" i="2"/>
  <c r="BB63" i="2"/>
  <c r="BB69" i="2"/>
  <c r="BB86" i="2"/>
  <c r="BB96" i="2"/>
  <c r="BB53" i="2"/>
  <c r="BB16" i="2"/>
  <c r="BB35" i="2"/>
  <c r="BB11" i="2"/>
  <c r="BB90" i="2"/>
  <c r="AP169" i="2"/>
  <c r="AP165" i="2"/>
  <c r="AP161" i="2"/>
  <c r="AP157" i="2"/>
  <c r="AP160" i="2"/>
  <c r="AP155" i="2"/>
  <c r="AP154" i="2"/>
  <c r="AP150" i="2"/>
  <c r="AP166" i="2"/>
  <c r="AP144" i="2"/>
  <c r="AP140" i="2"/>
  <c r="AP136" i="2"/>
  <c r="AP132" i="2"/>
  <c r="AP128" i="2"/>
  <c r="AP156" i="2"/>
  <c r="AP149" i="2"/>
  <c r="AP148" i="3"/>
  <c r="AP148" i="2" s="1"/>
  <c r="AP135" i="2"/>
  <c r="AP111" i="2"/>
  <c r="AP145" i="2"/>
  <c r="AP130" i="2"/>
  <c r="AP151" i="2"/>
  <c r="AP142" i="2"/>
  <c r="AP118" i="2"/>
  <c r="AP95" i="2"/>
  <c r="AP168" i="2"/>
  <c r="AP162" i="2"/>
  <c r="AP78" i="2"/>
  <c r="AP137" i="2"/>
  <c r="AP113" i="2"/>
  <c r="AP94" i="2"/>
  <c r="AP134" i="2"/>
  <c r="AP107" i="2"/>
  <c r="AP69" i="2"/>
  <c r="AP65" i="2"/>
  <c r="AP60" i="3"/>
  <c r="AP60" i="2" s="1"/>
  <c r="AP61" i="2"/>
  <c r="AP17" i="2"/>
  <c r="AP159" i="2"/>
  <c r="AP133" i="2"/>
  <c r="AP110" i="2"/>
  <c r="AP108" i="2"/>
  <c r="AP102" i="2"/>
  <c r="AP99" i="2"/>
  <c r="AP76" i="2"/>
  <c r="AP56" i="2"/>
  <c r="AP52" i="2"/>
  <c r="AP48" i="2"/>
  <c r="AP10" i="2"/>
  <c r="AP167" i="2"/>
  <c r="AP164" i="2"/>
  <c r="AP141" i="2"/>
  <c r="AP109" i="2"/>
  <c r="AP90" i="2"/>
  <c r="AP77" i="2"/>
  <c r="AP23" i="2"/>
  <c r="AP163" i="2"/>
  <c r="AP104" i="3"/>
  <c r="AP104" i="2" s="1"/>
  <c r="AP105" i="2"/>
  <c r="AP70" i="2"/>
  <c r="AP103" i="2"/>
  <c r="AP54" i="2"/>
  <c r="AP49" i="2"/>
  <c r="AP35" i="2"/>
  <c r="AP21" i="2"/>
  <c r="AP11" i="2"/>
  <c r="AP74" i="2"/>
  <c r="AP91" i="2"/>
  <c r="AP7" i="2"/>
  <c r="AP106" i="2"/>
  <c r="AP96" i="2"/>
  <c r="AP58" i="2"/>
  <c r="AP36" i="2"/>
  <c r="AP34" i="2"/>
  <c r="AP31" i="2"/>
  <c r="AP15" i="2"/>
  <c r="AP153" i="2"/>
  <c r="AP97" i="2"/>
  <c r="AP93" i="2"/>
  <c r="AP89" i="2"/>
  <c r="AP71" i="2"/>
  <c r="AP66" i="2"/>
  <c r="AP43" i="2"/>
  <c r="AP18" i="2"/>
  <c r="AP123" i="2"/>
  <c r="AP47" i="2"/>
  <c r="AP14" i="2"/>
  <c r="AP12" i="2"/>
  <c r="AP3" i="3"/>
  <c r="AP3" i="2" s="1"/>
  <c r="AP4" i="2"/>
  <c r="AP147" i="2"/>
  <c r="AP88" i="2"/>
  <c r="AP24" i="3"/>
  <c r="AP24" i="2" s="1"/>
  <c r="AP25" i="2"/>
  <c r="AP8" i="2"/>
  <c r="AP129" i="2"/>
  <c r="AP84" i="2"/>
  <c r="AP121" i="2"/>
  <c r="AP57" i="2"/>
  <c r="AP53" i="2"/>
  <c r="AP127" i="2"/>
  <c r="AP126" i="3"/>
  <c r="AP126" i="2" s="1"/>
  <c r="AP37" i="2"/>
  <c r="AP64" i="2"/>
  <c r="AP13" i="2"/>
  <c r="AP146" i="2"/>
  <c r="AP26" i="2"/>
  <c r="AP139" i="2"/>
  <c r="AP63" i="2"/>
  <c r="AP112" i="2"/>
  <c r="AP85" i="2"/>
  <c r="AP92" i="2"/>
  <c r="AP30" i="2"/>
  <c r="AP114" i="2"/>
  <c r="AP117" i="2"/>
  <c r="AP9" i="2"/>
  <c r="AP38" i="2"/>
  <c r="AP67" i="2"/>
  <c r="AP158" i="2"/>
  <c r="AP33" i="2"/>
  <c r="AP115" i="2"/>
  <c r="AP51" i="2"/>
  <c r="AP120" i="2"/>
  <c r="AP79" i="2"/>
  <c r="AP62" i="2"/>
  <c r="AP44" i="2"/>
  <c r="AP75" i="2"/>
  <c r="AP16" i="2"/>
  <c r="AP119" i="2"/>
  <c r="AP124" i="2"/>
  <c r="AP42" i="2"/>
  <c r="AP28" i="2"/>
  <c r="AP22" i="2"/>
  <c r="AP68" i="2"/>
  <c r="AP98" i="2"/>
  <c r="AP73" i="2"/>
  <c r="AP29" i="2"/>
  <c r="AP32" i="2"/>
  <c r="AP20" i="2"/>
  <c r="AP80" i="2"/>
  <c r="AP100" i="2"/>
  <c r="AP86" i="2"/>
  <c r="AP116" i="2"/>
  <c r="AP81" i="2"/>
  <c r="AP138" i="2"/>
  <c r="AP50" i="2"/>
  <c r="AP39" i="2"/>
  <c r="AP72" i="2"/>
  <c r="AP143" i="2"/>
  <c r="AP125" i="2"/>
  <c r="AP82" i="3"/>
  <c r="AP82" i="2" s="1"/>
  <c r="AP83" i="2"/>
  <c r="AP40" i="2"/>
  <c r="AP41" i="2"/>
  <c r="AP131" i="2"/>
  <c r="AP122" i="2"/>
  <c r="AP19" i="2"/>
  <c r="AP27" i="2"/>
  <c r="AP152" i="2"/>
  <c r="AP101" i="2"/>
  <c r="AP6" i="2"/>
  <c r="AP87" i="2"/>
  <c r="AP55" i="2"/>
  <c r="AP45" i="3"/>
  <c r="AP45" i="2" s="1"/>
  <c r="AP46" i="2"/>
  <c r="AP5" i="2"/>
  <c r="AE167" i="2"/>
  <c r="AE163" i="2"/>
  <c r="AE159" i="2"/>
  <c r="AE155" i="2"/>
  <c r="AE158" i="2"/>
  <c r="AE152" i="2"/>
  <c r="AE157" i="2"/>
  <c r="AE169" i="2"/>
  <c r="AE146" i="2"/>
  <c r="AE142" i="2"/>
  <c r="AE138" i="2"/>
  <c r="AE134" i="2"/>
  <c r="AE130" i="2"/>
  <c r="AE165" i="2"/>
  <c r="AE156" i="2"/>
  <c r="AE164" i="2"/>
  <c r="AE133" i="2"/>
  <c r="AE128" i="2"/>
  <c r="AE103" i="2"/>
  <c r="AE118" i="2"/>
  <c r="AE154" i="2"/>
  <c r="AE143" i="2"/>
  <c r="AE136" i="2"/>
  <c r="AE107" i="2"/>
  <c r="AE100" i="2"/>
  <c r="AE90" i="2"/>
  <c r="AE166" i="2"/>
  <c r="AE109" i="2"/>
  <c r="AE89" i="2"/>
  <c r="AE80" i="2"/>
  <c r="AE76" i="2"/>
  <c r="AE72" i="2"/>
  <c r="AE151" i="2"/>
  <c r="AE145" i="2"/>
  <c r="AE123" i="2"/>
  <c r="AE91" i="2"/>
  <c r="AE42" i="2"/>
  <c r="AE38" i="2"/>
  <c r="AE34" i="2"/>
  <c r="AE30" i="2"/>
  <c r="AE26" i="2"/>
  <c r="AE14" i="2"/>
  <c r="AE161" i="2"/>
  <c r="AE144" i="2"/>
  <c r="AE112" i="2"/>
  <c r="AE98" i="2"/>
  <c r="AE95" i="2"/>
  <c r="AE71" i="2"/>
  <c r="AE67" i="2"/>
  <c r="AE63" i="2"/>
  <c r="AE7" i="2"/>
  <c r="AE105" i="2"/>
  <c r="AE104" i="3"/>
  <c r="AE104" i="2" s="1"/>
  <c r="AE58" i="2"/>
  <c r="AE54" i="2"/>
  <c r="AE50" i="2"/>
  <c r="AE45" i="3"/>
  <c r="AE45" i="2" s="1"/>
  <c r="AE46" i="2"/>
  <c r="AE20" i="2"/>
  <c r="AE94" i="2"/>
  <c r="AE51" i="2"/>
  <c r="AE27" i="2"/>
  <c r="AE122" i="2"/>
  <c r="AE78" i="2"/>
  <c r="AE57" i="2"/>
  <c r="AE52" i="2"/>
  <c r="AE23" i="2"/>
  <c r="AE13" i="2"/>
  <c r="AE137" i="2"/>
  <c r="AE116" i="2"/>
  <c r="AE101" i="2"/>
  <c r="AE68" i="2"/>
  <c r="AE129" i="2"/>
  <c r="AE113" i="2"/>
  <c r="AE47" i="2"/>
  <c r="AE35" i="2"/>
  <c r="AE8" i="2"/>
  <c r="AE75" i="2"/>
  <c r="AE62" i="2"/>
  <c r="AE37" i="2"/>
  <c r="AE141" i="2"/>
  <c r="AE110" i="2"/>
  <c r="AE108" i="2"/>
  <c r="AE44" i="2"/>
  <c r="AE19" i="2"/>
  <c r="AE3" i="3"/>
  <c r="AE3" i="2" s="1"/>
  <c r="AE4" i="2"/>
  <c r="AE132" i="2"/>
  <c r="AE111" i="2"/>
  <c r="AE39" i="2"/>
  <c r="AE162" i="2"/>
  <c r="AE126" i="3"/>
  <c r="AE126" i="2" s="1"/>
  <c r="AE127" i="2"/>
  <c r="AE64" i="2"/>
  <c r="AE29" i="2"/>
  <c r="AE28" i="2"/>
  <c r="AE5" i="2"/>
  <c r="AE56" i="2"/>
  <c r="AE16" i="2"/>
  <c r="AE117" i="2"/>
  <c r="AE55" i="2"/>
  <c r="AE41" i="2"/>
  <c r="AE15" i="2"/>
  <c r="AE121" i="2"/>
  <c r="AE81" i="2"/>
  <c r="AE12" i="2"/>
  <c r="AE6" i="2"/>
  <c r="AE140" i="2"/>
  <c r="AE79" i="2"/>
  <c r="AE131" i="2"/>
  <c r="AE97" i="2"/>
  <c r="AE36" i="2"/>
  <c r="AE11" i="2"/>
  <c r="AE135" i="2"/>
  <c r="AE17" i="2"/>
  <c r="AE119" i="2"/>
  <c r="AE93" i="2"/>
  <c r="AE69" i="2"/>
  <c r="AE40" i="2"/>
  <c r="AE96" i="2"/>
  <c r="AE139" i="2"/>
  <c r="AE32" i="2"/>
  <c r="AE22" i="2"/>
  <c r="AE86" i="2"/>
  <c r="AE65" i="2"/>
  <c r="AE99" i="2"/>
  <c r="AE70" i="2"/>
  <c r="AE160" i="2"/>
  <c r="AE102" i="2"/>
  <c r="AE87" i="2"/>
  <c r="AE82" i="3"/>
  <c r="AE82" i="2" s="1"/>
  <c r="AE83" i="2"/>
  <c r="AE18" i="2"/>
  <c r="AE25" i="2"/>
  <c r="AE24" i="3"/>
  <c r="AE24" i="2" s="1"/>
  <c r="AE147" i="2"/>
  <c r="AE43" i="2"/>
  <c r="AE53" i="2"/>
  <c r="AE77" i="2"/>
  <c r="AE9" i="2"/>
  <c r="AE106" i="2"/>
  <c r="AE60" i="3"/>
  <c r="AE60" i="2" s="1"/>
  <c r="AE61" i="2"/>
  <c r="AE48" i="2"/>
  <c r="AE114" i="2"/>
  <c r="AE168" i="2"/>
  <c r="AE85" i="2"/>
  <c r="AE33" i="2"/>
  <c r="AE73" i="2"/>
  <c r="AE84" i="2"/>
  <c r="AE120" i="2"/>
  <c r="AE115" i="2"/>
  <c r="AE88" i="2"/>
  <c r="AE125" i="2"/>
  <c r="AE31" i="2"/>
  <c r="AE10" i="2"/>
  <c r="AE148" i="3"/>
  <c r="AE148" i="2" s="1"/>
  <c r="AE149" i="2"/>
  <c r="AE66" i="2"/>
  <c r="AE21" i="2"/>
  <c r="AE153" i="2"/>
  <c r="AE150" i="2"/>
  <c r="AE92" i="2"/>
  <c r="AE74" i="2"/>
  <c r="AE124" i="2"/>
  <c r="AE49" i="2"/>
  <c r="K167" i="2"/>
  <c r="K163" i="2"/>
  <c r="K159" i="2"/>
  <c r="K168" i="2"/>
  <c r="K169" i="2"/>
  <c r="K152" i="2"/>
  <c r="K146" i="2"/>
  <c r="K142" i="2"/>
  <c r="K138" i="2"/>
  <c r="K134" i="2"/>
  <c r="K130" i="2"/>
  <c r="K166" i="2"/>
  <c r="K154" i="2"/>
  <c r="K143" i="2"/>
  <c r="K124" i="2"/>
  <c r="K119" i="2"/>
  <c r="K109" i="2"/>
  <c r="K103" i="2"/>
  <c r="K144" i="2"/>
  <c r="K129" i="2"/>
  <c r="K158" i="2"/>
  <c r="K140" i="2"/>
  <c r="K123" i="2"/>
  <c r="K116" i="2"/>
  <c r="K128" i="2"/>
  <c r="K89" i="2"/>
  <c r="K147" i="2"/>
  <c r="K111" i="2"/>
  <c r="K104" i="3"/>
  <c r="K104" i="2" s="1"/>
  <c r="K105" i="2"/>
  <c r="K99" i="2"/>
  <c r="K80" i="2"/>
  <c r="K76" i="2"/>
  <c r="K72" i="2"/>
  <c r="K133" i="2"/>
  <c r="K110" i="2"/>
  <c r="K108" i="2"/>
  <c r="K92" i="2"/>
  <c r="K42" i="2"/>
  <c r="K38" i="2"/>
  <c r="K34" i="2"/>
  <c r="K30" i="2"/>
  <c r="K26" i="2"/>
  <c r="K14" i="2"/>
  <c r="K165" i="2"/>
  <c r="K141" i="2"/>
  <c r="K101" i="2"/>
  <c r="K71" i="2"/>
  <c r="K67" i="2"/>
  <c r="K63" i="2"/>
  <c r="K7" i="2"/>
  <c r="K117" i="2"/>
  <c r="K107" i="2"/>
  <c r="K58" i="2"/>
  <c r="K54" i="2"/>
  <c r="K50" i="2"/>
  <c r="K45" i="3"/>
  <c r="K45" i="2" s="1"/>
  <c r="K46" i="2"/>
  <c r="K20" i="2"/>
  <c r="K153" i="2"/>
  <c r="K33" i="2"/>
  <c r="K28" i="2"/>
  <c r="K10" i="2"/>
  <c r="K162" i="2"/>
  <c r="K150" i="2"/>
  <c r="K118" i="2"/>
  <c r="K96" i="2"/>
  <c r="K87" i="2"/>
  <c r="K69" i="2"/>
  <c r="K47" i="2"/>
  <c r="K43" i="2"/>
  <c r="K125" i="2"/>
  <c r="K100" i="2"/>
  <c r="K90" i="2"/>
  <c r="K53" i="2"/>
  <c r="K48" i="2"/>
  <c r="K17" i="2"/>
  <c r="K64" i="2"/>
  <c r="K27" i="2"/>
  <c r="K135" i="2"/>
  <c r="K98" i="2"/>
  <c r="K91" i="2"/>
  <c r="K41" i="2"/>
  <c r="K12" i="2"/>
  <c r="K157" i="2"/>
  <c r="K102" i="2"/>
  <c r="K86" i="2"/>
  <c r="K51" i="2"/>
  <c r="K29" i="2"/>
  <c r="K136" i="2"/>
  <c r="K131" i="2"/>
  <c r="K74" i="2"/>
  <c r="K25" i="2"/>
  <c r="K24" i="3"/>
  <c r="K24" i="2" s="1"/>
  <c r="K23" i="2"/>
  <c r="K15" i="2"/>
  <c r="K4" i="2"/>
  <c r="K3" i="3"/>
  <c r="K3" i="2" s="1"/>
  <c r="K156" i="2"/>
  <c r="K70" i="2"/>
  <c r="K22" i="2"/>
  <c r="K114" i="2"/>
  <c r="K79" i="2"/>
  <c r="K78" i="2"/>
  <c r="K73" i="2"/>
  <c r="K44" i="2"/>
  <c r="K35" i="2"/>
  <c r="K148" i="3"/>
  <c r="K148" i="2" s="1"/>
  <c r="K149" i="2"/>
  <c r="K32" i="2"/>
  <c r="K161" i="2"/>
  <c r="K106" i="2"/>
  <c r="K85" i="2"/>
  <c r="K9" i="2"/>
  <c r="K83" i="2"/>
  <c r="K82" i="3"/>
  <c r="K82" i="2" s="1"/>
  <c r="K95" i="2"/>
  <c r="K84" i="2"/>
  <c r="K66" i="2"/>
  <c r="K6" i="2"/>
  <c r="K164" i="2"/>
  <c r="K155" i="2"/>
  <c r="K75" i="2"/>
  <c r="K57" i="2"/>
  <c r="K21" i="2"/>
  <c r="K94" i="2"/>
  <c r="K132" i="2"/>
  <c r="K126" i="3"/>
  <c r="K126" i="2" s="1"/>
  <c r="K127" i="2"/>
  <c r="K120" i="2"/>
  <c r="K55" i="2"/>
  <c r="K31" i="2"/>
  <c r="K160" i="2"/>
  <c r="K122" i="2"/>
  <c r="K121" i="2"/>
  <c r="K62" i="2"/>
  <c r="K151" i="2"/>
  <c r="K112" i="2"/>
  <c r="K93" i="2"/>
  <c r="K139" i="2"/>
  <c r="K113" i="2"/>
  <c r="K5" i="2"/>
  <c r="K18" i="2"/>
  <c r="K97" i="2"/>
  <c r="K81" i="2"/>
  <c r="K11" i="2"/>
  <c r="K39" i="2"/>
  <c r="K19" i="2"/>
  <c r="K77" i="2"/>
  <c r="K49" i="2"/>
  <c r="K40" i="2"/>
  <c r="K88" i="2"/>
  <c r="K13" i="2"/>
  <c r="K56" i="2"/>
  <c r="K36" i="2"/>
  <c r="K65" i="2"/>
  <c r="K8" i="2"/>
  <c r="K115" i="2"/>
  <c r="K61" i="2"/>
  <c r="K60" i="3"/>
  <c r="K60" i="2" s="1"/>
  <c r="K37" i="2"/>
  <c r="K137" i="2"/>
  <c r="K16" i="2"/>
  <c r="K145" i="2"/>
  <c r="K68" i="2"/>
  <c r="K52" i="2"/>
  <c r="S160" i="2"/>
  <c r="S155" i="2"/>
  <c r="S161" i="2"/>
  <c r="S168" i="2"/>
  <c r="S154" i="2"/>
  <c r="S163" i="2"/>
  <c r="S124" i="2"/>
  <c r="S120" i="2"/>
  <c r="S116" i="2"/>
  <c r="S112" i="2"/>
  <c r="S108" i="2"/>
  <c r="S158" i="2"/>
  <c r="S159" i="2"/>
  <c r="S135" i="2"/>
  <c r="S111" i="2"/>
  <c r="S167" i="2"/>
  <c r="S145" i="2"/>
  <c r="S130" i="2"/>
  <c r="S136" i="2"/>
  <c r="S144" i="2"/>
  <c r="S165" i="2"/>
  <c r="S164" i="2"/>
  <c r="S125" i="2"/>
  <c r="S106" i="2"/>
  <c r="S87" i="2"/>
  <c r="S82" i="3"/>
  <c r="S82" i="2" s="1"/>
  <c r="S83" i="2"/>
  <c r="S148" i="3"/>
  <c r="S148" i="2" s="1"/>
  <c r="S149" i="2"/>
  <c r="S126" i="3"/>
  <c r="S126" i="2" s="1"/>
  <c r="S127" i="2"/>
  <c r="S115" i="2"/>
  <c r="S95" i="2"/>
  <c r="S99" i="2"/>
  <c r="S18" i="2"/>
  <c r="S150" i="2"/>
  <c r="S140" i="2"/>
  <c r="S139" i="2"/>
  <c r="S90" i="2"/>
  <c r="S11" i="2"/>
  <c r="S129" i="2"/>
  <c r="S128" i="2"/>
  <c r="S94" i="2"/>
  <c r="S78" i="2"/>
  <c r="S44" i="2"/>
  <c r="S40" i="2"/>
  <c r="S36" i="2"/>
  <c r="S32" i="2"/>
  <c r="S28" i="2"/>
  <c r="S3" i="3"/>
  <c r="S3" i="2" s="1"/>
  <c r="S4" i="2"/>
  <c r="S84" i="2"/>
  <c r="S79" i="2"/>
  <c r="S77" i="2"/>
  <c r="S74" i="2"/>
  <c r="S70" i="2"/>
  <c r="S92" i="2"/>
  <c r="S89" i="2"/>
  <c r="S60" i="3"/>
  <c r="S60" i="2" s="1"/>
  <c r="S61" i="2"/>
  <c r="S54" i="2"/>
  <c r="S49" i="2"/>
  <c r="S35" i="2"/>
  <c r="S21" i="2"/>
  <c r="S134" i="2"/>
  <c r="S152" i="2"/>
  <c r="S53" i="2"/>
  <c r="S29" i="2"/>
  <c r="S133" i="2"/>
  <c r="S85" i="2"/>
  <c r="S68" i="2"/>
  <c r="S162" i="2"/>
  <c r="S76" i="2"/>
  <c r="S55" i="2"/>
  <c r="S26" i="2"/>
  <c r="S5" i="2"/>
  <c r="S141" i="2"/>
  <c r="S119" i="2"/>
  <c r="S114" i="2"/>
  <c r="S103" i="2"/>
  <c r="S97" i="2"/>
  <c r="S93" i="2"/>
  <c r="S67" i="2"/>
  <c r="S57" i="2"/>
  <c r="S43" i="2"/>
  <c r="S42" i="2"/>
  <c r="S80" i="2"/>
  <c r="S33" i="2"/>
  <c r="S100" i="2"/>
  <c r="S58" i="2"/>
  <c r="S75" i="2"/>
  <c r="S14" i="2"/>
  <c r="S109" i="2"/>
  <c r="S104" i="3"/>
  <c r="S104" i="2" s="1"/>
  <c r="S105" i="2"/>
  <c r="S146" i="2"/>
  <c r="S122" i="2"/>
  <c r="S39" i="2"/>
  <c r="S27" i="2"/>
  <c r="S96" i="2"/>
  <c r="S142" i="2"/>
  <c r="S88" i="2"/>
  <c r="S66" i="2"/>
  <c r="S50" i="2"/>
  <c r="S110" i="2"/>
  <c r="S23" i="2"/>
  <c r="S19" i="2"/>
  <c r="S123" i="2"/>
  <c r="S169" i="2"/>
  <c r="S137" i="2"/>
  <c r="S98" i="2"/>
  <c r="S102" i="2"/>
  <c r="S52" i="2"/>
  <c r="S38" i="2"/>
  <c r="S131" i="2"/>
  <c r="S9" i="2"/>
  <c r="S86" i="2"/>
  <c r="S81" i="2"/>
  <c r="S31" i="2"/>
  <c r="S143" i="2"/>
  <c r="S101" i="2"/>
  <c r="S147" i="2"/>
  <c r="S17" i="2"/>
  <c r="S64" i="2"/>
  <c r="S56" i="2"/>
  <c r="S20" i="2"/>
  <c r="S113" i="2"/>
  <c r="S10" i="2"/>
  <c r="S69" i="2"/>
  <c r="S118" i="2"/>
  <c r="S117" i="2"/>
  <c r="S71" i="2"/>
  <c r="S63" i="2"/>
  <c r="S30" i="2"/>
  <c r="S6" i="2"/>
  <c r="S91" i="2"/>
  <c r="S45" i="3"/>
  <c r="S45" i="2" s="1"/>
  <c r="S46" i="2"/>
  <c r="S157" i="2"/>
  <c r="S12" i="2"/>
  <c r="S132" i="2"/>
  <c r="S62" i="2"/>
  <c r="S41" i="2"/>
  <c r="S156" i="2"/>
  <c r="S121" i="2"/>
  <c r="S51" i="2"/>
  <c r="S22" i="2"/>
  <c r="S73" i="2"/>
  <c r="S65" i="2"/>
  <c r="S8" i="2"/>
  <c r="S151" i="2"/>
  <c r="S166" i="2"/>
  <c r="S47" i="2"/>
  <c r="S16" i="2"/>
  <c r="S48" i="2"/>
  <c r="S72" i="2"/>
  <c r="S153" i="2"/>
  <c r="S7" i="2"/>
  <c r="S15" i="2"/>
  <c r="S37" i="2"/>
  <c r="S34" i="2"/>
  <c r="S24" i="3"/>
  <c r="S24" i="2" s="1"/>
  <c r="S25" i="2"/>
  <c r="S13" i="2"/>
  <c r="S138" i="2"/>
  <c r="S107" i="2"/>
  <c r="BK169" i="2"/>
  <c r="BK165" i="2"/>
  <c r="BK161" i="2"/>
  <c r="BK157" i="2"/>
  <c r="BK160" i="2"/>
  <c r="BK155" i="2"/>
  <c r="BK153" i="2"/>
  <c r="BK164" i="2"/>
  <c r="BK123" i="2"/>
  <c r="BK119" i="2"/>
  <c r="BK115" i="2"/>
  <c r="BK111" i="2"/>
  <c r="BK107" i="2"/>
  <c r="BK152" i="2"/>
  <c r="BK125" i="2"/>
  <c r="BK120" i="2"/>
  <c r="BK110" i="2"/>
  <c r="BK135" i="2"/>
  <c r="BK159" i="2"/>
  <c r="BK154" i="2"/>
  <c r="BK138" i="2"/>
  <c r="BK114" i="2"/>
  <c r="BK95" i="2"/>
  <c r="BK78" i="2"/>
  <c r="BK145" i="2"/>
  <c r="BK121" i="2"/>
  <c r="BK147" i="2"/>
  <c r="BK133" i="2"/>
  <c r="BK109" i="2"/>
  <c r="BK94" i="2"/>
  <c r="BK86" i="2"/>
  <c r="BK146" i="2"/>
  <c r="BK56" i="2"/>
  <c r="BK52" i="2"/>
  <c r="BK48" i="2"/>
  <c r="BK10" i="2"/>
  <c r="BK168" i="2"/>
  <c r="BK163" i="2"/>
  <c r="BK158" i="2"/>
  <c r="BK150" i="2"/>
  <c r="BK124" i="2"/>
  <c r="BK112" i="2"/>
  <c r="BK104" i="3"/>
  <c r="BK104" i="2" s="1"/>
  <c r="BK105" i="2"/>
  <c r="BK93" i="2"/>
  <c r="BK23" i="2"/>
  <c r="BK136" i="2"/>
  <c r="BK122" i="2"/>
  <c r="BK96" i="2"/>
  <c r="BK76" i="2"/>
  <c r="BK16" i="2"/>
  <c r="BK167" i="2"/>
  <c r="BK129" i="2"/>
  <c r="BK141" i="2"/>
  <c r="BK101" i="2"/>
  <c r="BK85" i="2"/>
  <c r="BK80" i="2"/>
  <c r="BK73" i="2"/>
  <c r="BK44" i="2"/>
  <c r="BK34" i="2"/>
  <c r="BK29" i="2"/>
  <c r="BK14" i="2"/>
  <c r="BK130" i="2"/>
  <c r="BK97" i="2"/>
  <c r="BK70" i="2"/>
  <c r="BK65" i="2"/>
  <c r="BK49" i="2"/>
  <c r="BK32" i="2"/>
  <c r="BK27" i="2"/>
  <c r="BK24" i="3"/>
  <c r="BK24" i="2" s="1"/>
  <c r="BK25" i="2"/>
  <c r="BK9" i="2"/>
  <c r="BK72" i="2"/>
  <c r="BK51" i="2"/>
  <c r="BK39" i="2"/>
  <c r="BK117" i="2"/>
  <c r="BK5" i="2"/>
  <c r="BK149" i="2"/>
  <c r="BK148" i="3"/>
  <c r="BK148" i="2" s="1"/>
  <c r="BK128" i="2"/>
  <c r="BK81" i="2"/>
  <c r="BK64" i="2"/>
  <c r="BK53" i="2"/>
  <c r="BK30" i="2"/>
  <c r="BK166" i="2"/>
  <c r="BK106" i="2"/>
  <c r="BK33" i="2"/>
  <c r="BK19" i="2"/>
  <c r="BK11" i="2"/>
  <c r="BK151" i="2"/>
  <c r="BK92" i="2"/>
  <c r="BK156" i="2"/>
  <c r="BK137" i="2"/>
  <c r="BK82" i="3"/>
  <c r="BK82" i="2" s="1"/>
  <c r="BK83" i="2"/>
  <c r="BK67" i="2"/>
  <c r="BK55" i="2"/>
  <c r="BK15" i="2"/>
  <c r="BK3" i="3"/>
  <c r="BK3" i="2" s="1"/>
  <c r="BK4" i="2"/>
  <c r="BK88" i="2"/>
  <c r="BK143" i="2"/>
  <c r="BK71" i="2"/>
  <c r="BK62" i="2"/>
  <c r="BK60" i="3"/>
  <c r="BK60" i="2" s="1"/>
  <c r="BK61" i="2"/>
  <c r="BK40" i="2"/>
  <c r="BK28" i="2"/>
  <c r="BK131" i="2"/>
  <c r="BK6" i="2"/>
  <c r="BK162" i="2"/>
  <c r="BK142" i="2"/>
  <c r="BK57" i="2"/>
  <c r="BK99" i="2"/>
  <c r="BK66" i="2"/>
  <c r="BK7" i="2"/>
  <c r="BK75" i="2"/>
  <c r="BK68" i="2"/>
  <c r="BK91" i="2"/>
  <c r="BK140" i="2"/>
  <c r="BK103" i="2"/>
  <c r="BK84" i="2"/>
  <c r="BK77" i="2"/>
  <c r="BK139" i="2"/>
  <c r="BK113" i="2"/>
  <c r="BK41" i="2"/>
  <c r="BK46" i="2"/>
  <c r="BK45" i="3"/>
  <c r="BK45" i="2" s="1"/>
  <c r="BK31" i="2"/>
  <c r="BK63" i="2"/>
  <c r="BK12" i="2"/>
  <c r="BK50" i="2"/>
  <c r="BK144" i="2"/>
  <c r="BK118" i="2"/>
  <c r="BK58" i="2"/>
  <c r="BK36" i="2"/>
  <c r="BK116" i="2"/>
  <c r="BK90" i="2"/>
  <c r="BK87" i="2"/>
  <c r="BK74" i="2"/>
  <c r="BK47" i="2"/>
  <c r="BK22" i="2"/>
  <c r="BK21" i="2"/>
  <c r="BK13" i="2"/>
  <c r="BK20" i="2"/>
  <c r="BK134" i="2"/>
  <c r="BK102" i="2"/>
  <c r="BK17" i="2"/>
  <c r="BK8" i="2"/>
  <c r="BK35" i="2"/>
  <c r="BK26" i="2"/>
  <c r="BK132" i="2"/>
  <c r="BK100" i="2"/>
  <c r="BK37" i="2"/>
  <c r="BK108" i="2"/>
  <c r="BK126" i="3"/>
  <c r="BK126" i="2" s="1"/>
  <c r="BK127" i="2"/>
  <c r="BK98" i="2"/>
  <c r="BK69" i="2"/>
  <c r="BK89" i="2"/>
  <c r="BK43" i="2"/>
  <c r="BK54" i="2"/>
  <c r="BK38" i="2"/>
  <c r="BK42" i="2"/>
  <c r="BK18" i="2"/>
  <c r="BK79" i="2"/>
  <c r="M167" i="2"/>
  <c r="M163" i="2"/>
  <c r="M159" i="2"/>
  <c r="M155" i="2"/>
  <c r="M164" i="2"/>
  <c r="M166" i="2"/>
  <c r="M161" i="2"/>
  <c r="M152" i="2"/>
  <c r="M125" i="2"/>
  <c r="M121" i="2"/>
  <c r="M117" i="2"/>
  <c r="M113" i="2"/>
  <c r="M109" i="2"/>
  <c r="M104" i="3"/>
  <c r="M104" i="2" s="1"/>
  <c r="M105" i="2"/>
  <c r="M144" i="2"/>
  <c r="M129" i="2"/>
  <c r="M160" i="2"/>
  <c r="M158" i="2"/>
  <c r="M114" i="2"/>
  <c r="M157" i="2"/>
  <c r="M151" i="2"/>
  <c r="M139" i="2"/>
  <c r="M120" i="2"/>
  <c r="M115" i="2"/>
  <c r="M147" i="2"/>
  <c r="M111" i="2"/>
  <c r="M99" i="2"/>
  <c r="M80" i="2"/>
  <c r="M169" i="2"/>
  <c r="M98" i="2"/>
  <c r="M137" i="2"/>
  <c r="M135" i="2"/>
  <c r="M88" i="2"/>
  <c r="M84" i="2"/>
  <c r="M107" i="2"/>
  <c r="M58" i="2"/>
  <c r="M54" i="2"/>
  <c r="M50" i="2"/>
  <c r="M45" i="3"/>
  <c r="M45" i="2" s="1"/>
  <c r="M46" i="2"/>
  <c r="M20" i="2"/>
  <c r="M118" i="2"/>
  <c r="M96" i="2"/>
  <c r="M85" i="2"/>
  <c r="M13" i="2"/>
  <c r="M93" i="2"/>
  <c r="M86" i="2"/>
  <c r="M6" i="2"/>
  <c r="M146" i="2"/>
  <c r="M128" i="2"/>
  <c r="M100" i="2"/>
  <c r="M90" i="2"/>
  <c r="M53" i="2"/>
  <c r="M48" i="2"/>
  <c r="M17" i="2"/>
  <c r="M133" i="2"/>
  <c r="M108" i="2"/>
  <c r="M64" i="2"/>
  <c r="M38" i="2"/>
  <c r="M103" i="2"/>
  <c r="M44" i="2"/>
  <c r="M29" i="2"/>
  <c r="M3" i="3"/>
  <c r="M3" i="2" s="1"/>
  <c r="M4" i="2"/>
  <c r="M102" i="2"/>
  <c r="M89" i="2"/>
  <c r="M51" i="2"/>
  <c r="M124" i="2"/>
  <c r="M36" i="2"/>
  <c r="M34" i="2"/>
  <c r="M9" i="2"/>
  <c r="M150" i="2"/>
  <c r="M138" i="2"/>
  <c r="M87" i="2"/>
  <c r="M74" i="2"/>
  <c r="M66" i="2"/>
  <c r="M18" i="2"/>
  <c r="M79" i="2"/>
  <c r="M78" i="2"/>
  <c r="M73" i="2"/>
  <c r="M47" i="2"/>
  <c r="M35" i="2"/>
  <c r="M156" i="2"/>
  <c r="M110" i="2"/>
  <c r="M71" i="2"/>
  <c r="M165" i="2"/>
  <c r="M72" i="2"/>
  <c r="M8" i="2"/>
  <c r="M141" i="2"/>
  <c r="M162" i="2"/>
  <c r="M49" i="2"/>
  <c r="M10" i="2"/>
  <c r="M136" i="2"/>
  <c r="M130" i="2"/>
  <c r="M123" i="2"/>
  <c r="M82" i="3"/>
  <c r="M82" i="2" s="1"/>
  <c r="M83" i="2"/>
  <c r="M70" i="2"/>
  <c r="M24" i="3"/>
  <c r="M24" i="2" s="1"/>
  <c r="M25" i="2"/>
  <c r="M33" i="2"/>
  <c r="M14" i="2"/>
  <c r="M94" i="2"/>
  <c r="M127" i="2"/>
  <c r="M126" i="3"/>
  <c r="M126" i="2" s="1"/>
  <c r="M55" i="2"/>
  <c r="M31" i="2"/>
  <c r="M168" i="2"/>
  <c r="M122" i="2"/>
  <c r="M62" i="2"/>
  <c r="M12" i="2"/>
  <c r="M134" i="2"/>
  <c r="M77" i="2"/>
  <c r="M68" i="2"/>
  <c r="M132" i="2"/>
  <c r="M23" i="2"/>
  <c r="M91" i="2"/>
  <c r="M16" i="2"/>
  <c r="M40" i="2"/>
  <c r="M7" i="2"/>
  <c r="M95" i="2"/>
  <c r="M11" i="2"/>
  <c r="M101" i="2"/>
  <c r="M39" i="2"/>
  <c r="M19" i="2"/>
  <c r="M30" i="2"/>
  <c r="M112" i="2"/>
  <c r="M41" i="2"/>
  <c r="M142" i="2"/>
  <c r="M97" i="2"/>
  <c r="M92" i="2"/>
  <c r="M63" i="2"/>
  <c r="M26" i="2"/>
  <c r="M145" i="2"/>
  <c r="M153" i="2"/>
  <c r="M57" i="2"/>
  <c r="M21" i="2"/>
  <c r="M81" i="2"/>
  <c r="M27" i="2"/>
  <c r="M131" i="2"/>
  <c r="M56" i="2"/>
  <c r="M154" i="2"/>
  <c r="M143" i="2"/>
  <c r="M5" i="2"/>
  <c r="M69" i="2"/>
  <c r="M148" i="3"/>
  <c r="M148" i="2" s="1"/>
  <c r="M149" i="2"/>
  <c r="M42" i="2"/>
  <c r="M67" i="2"/>
  <c r="M52" i="2"/>
  <c r="M76" i="2"/>
  <c r="M75" i="2"/>
  <c r="M61" i="2"/>
  <c r="M60" i="3"/>
  <c r="M60" i="2" s="1"/>
  <c r="M116" i="2"/>
  <c r="M32" i="2"/>
  <c r="M119" i="2"/>
  <c r="M106" i="2"/>
  <c r="M43" i="2"/>
  <c r="M37" i="2"/>
  <c r="M28" i="2"/>
  <c r="M22" i="2"/>
  <c r="M15" i="2"/>
  <c r="M65" i="2"/>
  <c r="M140" i="2"/>
  <c r="AA168" i="2"/>
  <c r="AA164" i="2"/>
  <c r="AA160" i="2"/>
  <c r="AA156" i="2"/>
  <c r="AA167" i="2"/>
  <c r="AA162" i="2"/>
  <c r="AA157" i="2"/>
  <c r="AA153" i="2"/>
  <c r="AA148" i="3"/>
  <c r="AA148" i="2" s="1"/>
  <c r="AA149" i="2"/>
  <c r="AA147" i="2"/>
  <c r="AA143" i="2"/>
  <c r="AA139" i="2"/>
  <c r="AA135" i="2"/>
  <c r="AA131" i="2"/>
  <c r="AA126" i="3"/>
  <c r="AA126" i="2" s="1"/>
  <c r="AA127" i="2"/>
  <c r="AA155" i="2"/>
  <c r="AA142" i="2"/>
  <c r="AA137" i="2"/>
  <c r="AA132" i="2"/>
  <c r="AA150" i="2"/>
  <c r="AA146" i="2"/>
  <c r="AA124" i="2"/>
  <c r="AA117" i="2"/>
  <c r="AA102" i="2"/>
  <c r="AA92" i="2"/>
  <c r="AA129" i="2"/>
  <c r="AA103" i="2"/>
  <c r="AA81" i="2"/>
  <c r="AA77" i="2"/>
  <c r="AA141" i="2"/>
  <c r="AA119" i="2"/>
  <c r="AA112" i="2"/>
  <c r="AA101" i="2"/>
  <c r="AA91" i="2"/>
  <c r="AA152" i="2"/>
  <c r="AA113" i="2"/>
  <c r="AA68" i="2"/>
  <c r="AA64" i="2"/>
  <c r="AA22" i="2"/>
  <c r="AA151" i="2"/>
  <c r="AA125" i="2"/>
  <c r="AA123" i="2"/>
  <c r="AA106" i="2"/>
  <c r="AA79" i="2"/>
  <c r="AA55" i="2"/>
  <c r="AA51" i="2"/>
  <c r="AA47" i="2"/>
  <c r="AA15" i="2"/>
  <c r="AA73" i="2"/>
  <c r="AA8" i="2"/>
  <c r="AA121" i="2"/>
  <c r="AA98" i="2"/>
  <c r="AA75" i="2"/>
  <c r="AA67" i="2"/>
  <c r="AA62" i="2"/>
  <c r="AA31" i="2"/>
  <c r="AA115" i="2"/>
  <c r="AA88" i="2"/>
  <c r="AA56" i="2"/>
  <c r="AA45" i="3"/>
  <c r="AA45" i="2" s="1"/>
  <c r="AA46" i="2"/>
  <c r="AA19" i="2"/>
  <c r="AA122" i="2"/>
  <c r="AA9" i="2"/>
  <c r="AA144" i="2"/>
  <c r="AA70" i="2"/>
  <c r="AA42" i="2"/>
  <c r="AA104" i="3"/>
  <c r="AA104" i="2" s="1"/>
  <c r="AA105" i="2"/>
  <c r="AA65" i="2"/>
  <c r="AA40" i="2"/>
  <c r="AA166" i="2"/>
  <c r="AA120" i="2"/>
  <c r="AA80" i="2"/>
  <c r="AA37" i="2"/>
  <c r="AA10" i="2"/>
  <c r="AA6" i="2"/>
  <c r="AA165" i="2"/>
  <c r="AA130" i="2"/>
  <c r="AA163" i="2"/>
  <c r="AA116" i="2"/>
  <c r="AA90" i="2"/>
  <c r="AA86" i="2"/>
  <c r="AA66" i="2"/>
  <c r="AA53" i="2"/>
  <c r="AA30" i="2"/>
  <c r="AA128" i="2"/>
  <c r="AA74" i="2"/>
  <c r="AA50" i="2"/>
  <c r="AA28" i="2"/>
  <c r="AA3" i="3"/>
  <c r="AA3" i="2" s="1"/>
  <c r="AA4" i="2"/>
  <c r="AA63" i="2"/>
  <c r="AA109" i="2"/>
  <c r="AA71" i="2"/>
  <c r="AA23" i="2"/>
  <c r="AA16" i="2"/>
  <c r="AA11" i="2"/>
  <c r="AA100" i="2"/>
  <c r="AA34" i="2"/>
  <c r="AA20" i="2"/>
  <c r="AA145" i="2"/>
  <c r="AA134" i="2"/>
  <c r="AA108" i="2"/>
  <c r="AA76" i="2"/>
  <c r="AA72" i="2"/>
  <c r="AA29" i="2"/>
  <c r="AA5" i="2"/>
  <c r="AA60" i="3"/>
  <c r="AA60" i="2" s="1"/>
  <c r="AA61" i="2"/>
  <c r="AA83" i="2"/>
  <c r="AA82" i="3"/>
  <c r="AA82" i="2" s="1"/>
  <c r="AA27" i="2"/>
  <c r="AA44" i="2"/>
  <c r="AA169" i="2"/>
  <c r="AA94" i="2"/>
  <c r="AA87" i="2"/>
  <c r="AA25" i="2"/>
  <c r="AA24" i="3"/>
  <c r="AA24" i="2" s="1"/>
  <c r="AA7" i="2"/>
  <c r="AA118" i="2"/>
  <c r="AA107" i="2"/>
  <c r="AA36" i="2"/>
  <c r="AA161" i="2"/>
  <c r="AA138" i="2"/>
  <c r="AA48" i="2"/>
  <c r="AA18" i="2"/>
  <c r="AA32" i="2"/>
  <c r="AA97" i="2"/>
  <c r="AA54" i="2"/>
  <c r="AA12" i="2"/>
  <c r="AA99" i="2"/>
  <c r="AA49" i="2"/>
  <c r="AA43" i="2"/>
  <c r="AA38" i="2"/>
  <c r="AA154" i="2"/>
  <c r="AA35" i="2"/>
  <c r="AA133" i="2"/>
  <c r="AA140" i="2"/>
  <c r="AA69" i="2"/>
  <c r="AA39" i="2"/>
  <c r="AA78" i="2"/>
  <c r="AA26" i="2"/>
  <c r="AA17" i="2"/>
  <c r="AA136" i="2"/>
  <c r="AA114" i="2"/>
  <c r="AA14" i="2"/>
  <c r="AA33" i="2"/>
  <c r="AA95" i="2"/>
  <c r="AA89" i="2"/>
  <c r="AA84" i="2"/>
  <c r="AA159" i="2"/>
  <c r="AA85" i="2"/>
  <c r="AA158" i="2"/>
  <c r="AA52" i="2"/>
  <c r="AA21" i="2"/>
  <c r="AA110" i="2"/>
  <c r="AA57" i="2"/>
  <c r="AA111" i="2"/>
  <c r="AA96" i="2"/>
  <c r="AA13" i="2"/>
  <c r="AA58" i="2"/>
  <c r="AA93" i="2"/>
  <c r="AA41" i="2"/>
  <c r="AS166" i="2"/>
  <c r="AS161" i="2"/>
  <c r="AS156" i="2"/>
  <c r="AS153" i="2"/>
  <c r="AS148" i="3"/>
  <c r="AS148" i="2" s="1"/>
  <c r="AS149" i="2"/>
  <c r="AS168" i="2"/>
  <c r="AS154" i="2"/>
  <c r="AS123" i="2"/>
  <c r="AS119" i="2"/>
  <c r="AS115" i="2"/>
  <c r="AS111" i="2"/>
  <c r="AS107" i="2"/>
  <c r="AS163" i="2"/>
  <c r="AS158" i="2"/>
  <c r="AS147" i="2"/>
  <c r="AS143" i="2"/>
  <c r="AS139" i="2"/>
  <c r="AS135" i="2"/>
  <c r="AS131" i="2"/>
  <c r="AS126" i="3"/>
  <c r="AS126" i="2" s="1"/>
  <c r="AS127" i="2"/>
  <c r="AS121" i="2"/>
  <c r="AS116" i="2"/>
  <c r="AS160" i="2"/>
  <c r="AS106" i="2"/>
  <c r="AS104" i="3"/>
  <c r="AS104" i="2" s="1"/>
  <c r="AS105" i="2"/>
  <c r="AS157" i="2"/>
  <c r="AS146" i="2"/>
  <c r="AS141" i="2"/>
  <c r="AS136" i="2"/>
  <c r="AS100" i="2"/>
  <c r="AS96" i="2"/>
  <c r="AS92" i="2"/>
  <c r="AS88" i="2"/>
  <c r="AS86" i="2"/>
  <c r="AS132" i="2"/>
  <c r="AS125" i="2"/>
  <c r="AS108" i="2"/>
  <c r="AS93" i="2"/>
  <c r="AS130" i="2"/>
  <c r="AS117" i="2"/>
  <c r="AS87" i="2"/>
  <c r="AS75" i="2"/>
  <c r="AS16" i="2"/>
  <c r="AS162" i="2"/>
  <c r="AS118" i="2"/>
  <c r="AS43" i="2"/>
  <c r="AS39" i="2"/>
  <c r="AS35" i="2"/>
  <c r="AS31" i="2"/>
  <c r="AS27" i="2"/>
  <c r="AS9" i="2"/>
  <c r="AS78" i="2"/>
  <c r="AS74" i="2"/>
  <c r="AS68" i="2"/>
  <c r="AS64" i="2"/>
  <c r="AS22" i="2"/>
  <c r="AS152" i="2"/>
  <c r="AS84" i="2"/>
  <c r="AS79" i="2"/>
  <c r="AS40" i="2"/>
  <c r="AS30" i="2"/>
  <c r="AS24" i="3"/>
  <c r="AS24" i="2" s="1"/>
  <c r="AS25" i="2"/>
  <c r="AS18" i="2"/>
  <c r="AS8" i="2"/>
  <c r="AS155" i="2"/>
  <c r="AS124" i="2"/>
  <c r="AS66" i="2"/>
  <c r="AS60" i="3"/>
  <c r="AS60" i="2" s="1"/>
  <c r="AS61" i="2"/>
  <c r="AS145" i="2"/>
  <c r="AS113" i="2"/>
  <c r="AS77" i="2"/>
  <c r="AS71" i="2"/>
  <c r="AS55" i="2"/>
  <c r="AS50" i="2"/>
  <c r="AS15" i="2"/>
  <c r="AS5" i="2"/>
  <c r="AS137" i="2"/>
  <c r="AS114" i="2"/>
  <c r="AS53" i="2"/>
  <c r="AS29" i="2"/>
  <c r="AS98" i="2"/>
  <c r="AS21" i="2"/>
  <c r="AS101" i="2"/>
  <c r="AS48" i="2"/>
  <c r="AS26" i="2"/>
  <c r="AS72" i="2"/>
  <c r="AS45" i="3"/>
  <c r="AS45" i="2" s="1"/>
  <c r="AS46" i="2"/>
  <c r="AS99" i="2"/>
  <c r="AS73" i="2"/>
  <c r="AS150" i="2"/>
  <c r="AS70" i="2"/>
  <c r="AS165" i="2"/>
  <c r="AS133" i="2"/>
  <c r="AS97" i="2"/>
  <c r="AS69" i="2"/>
  <c r="AS13" i="2"/>
  <c r="AS169" i="2"/>
  <c r="AS167" i="2"/>
  <c r="AS164" i="2"/>
  <c r="AS144" i="2"/>
  <c r="AS95" i="2"/>
  <c r="AS47" i="2"/>
  <c r="AS36" i="2"/>
  <c r="AS32" i="2"/>
  <c r="AS17" i="2"/>
  <c r="AS120" i="2"/>
  <c r="AS91" i="2"/>
  <c r="AS65" i="2"/>
  <c r="AS140" i="2"/>
  <c r="AS138" i="2"/>
  <c r="AS103" i="2"/>
  <c r="AS89" i="2"/>
  <c r="AS38" i="2"/>
  <c r="AS112" i="2"/>
  <c r="AS85" i="2"/>
  <c r="AS76" i="2"/>
  <c r="AS37" i="2"/>
  <c r="AS6" i="2"/>
  <c r="AS90" i="2"/>
  <c r="AS10" i="2"/>
  <c r="AS19" i="2"/>
  <c r="AS34" i="2"/>
  <c r="AS28" i="2"/>
  <c r="AS51" i="2"/>
  <c r="AS3" i="3"/>
  <c r="AS3" i="2" s="1"/>
  <c r="AS4" i="2"/>
  <c r="AS52" i="2"/>
  <c r="AS23" i="2"/>
  <c r="AS129" i="2"/>
  <c r="AS57" i="2"/>
  <c r="AS110" i="2"/>
  <c r="AS14" i="2"/>
  <c r="AS109" i="2"/>
  <c r="AS67" i="2"/>
  <c r="AS42" i="2"/>
  <c r="AS33" i="2"/>
  <c r="AS41" i="2"/>
  <c r="AS128" i="2"/>
  <c r="AS12" i="2"/>
  <c r="AS54" i="2"/>
  <c r="AS58" i="2"/>
  <c r="AS159" i="2"/>
  <c r="AS63" i="2"/>
  <c r="AS56" i="2"/>
  <c r="AS134" i="2"/>
  <c r="AS102" i="2"/>
  <c r="AS142" i="2"/>
  <c r="AS49" i="2"/>
  <c r="AS94" i="2"/>
  <c r="AS11" i="2"/>
  <c r="AS82" i="3"/>
  <c r="AS82" i="2" s="1"/>
  <c r="AS83" i="2"/>
  <c r="AS80" i="2"/>
  <c r="AS7" i="2"/>
  <c r="AS81" i="2"/>
  <c r="AS151" i="2"/>
  <c r="AS122" i="2"/>
  <c r="AS62" i="2"/>
  <c r="AS44" i="2"/>
  <c r="AS20" i="2"/>
  <c r="N164" i="2"/>
  <c r="N159" i="2"/>
  <c r="N165" i="2"/>
  <c r="N161" i="2"/>
  <c r="N152" i="2"/>
  <c r="N125" i="2"/>
  <c r="N121" i="2"/>
  <c r="N117" i="2"/>
  <c r="N113" i="2"/>
  <c r="N109" i="2"/>
  <c r="N160" i="2"/>
  <c r="N158" i="2"/>
  <c r="N114" i="2"/>
  <c r="N157" i="2"/>
  <c r="N151" i="2"/>
  <c r="N139" i="2"/>
  <c r="N120" i="2"/>
  <c r="N115" i="2"/>
  <c r="N169" i="2"/>
  <c r="N134" i="2"/>
  <c r="N163" i="2"/>
  <c r="N104" i="3"/>
  <c r="N104" i="2" s="1"/>
  <c r="N105" i="2"/>
  <c r="N98" i="2"/>
  <c r="N137" i="2"/>
  <c r="N135" i="2"/>
  <c r="N88" i="2"/>
  <c r="N84" i="2"/>
  <c r="N142" i="2"/>
  <c r="N118" i="2"/>
  <c r="N97" i="2"/>
  <c r="N96" i="2"/>
  <c r="N85" i="2"/>
  <c r="N13" i="2"/>
  <c r="N93" i="2"/>
  <c r="N86" i="2"/>
  <c r="N6" i="2"/>
  <c r="N131" i="2"/>
  <c r="N81" i="2"/>
  <c r="N41" i="2"/>
  <c r="N37" i="2"/>
  <c r="N33" i="2"/>
  <c r="N29" i="2"/>
  <c r="N24" i="3"/>
  <c r="N24" i="2" s="1"/>
  <c r="N25" i="2"/>
  <c r="N19" i="2"/>
  <c r="N133" i="2"/>
  <c r="N108" i="2"/>
  <c r="N64" i="2"/>
  <c r="N38" i="2"/>
  <c r="N20" i="2"/>
  <c r="N103" i="2"/>
  <c r="N44" i="2"/>
  <c r="N140" i="2"/>
  <c r="N129" i="2"/>
  <c r="N119" i="2"/>
  <c r="N79" i="2"/>
  <c r="N73" i="2"/>
  <c r="N70" i="2"/>
  <c r="N65" i="2"/>
  <c r="N58" i="2"/>
  <c r="N39" i="2"/>
  <c r="N7" i="2"/>
  <c r="N124" i="2"/>
  <c r="N107" i="2"/>
  <c r="N36" i="2"/>
  <c r="N34" i="2"/>
  <c r="N9" i="2"/>
  <c r="N150" i="2"/>
  <c r="N138" i="2"/>
  <c r="N99" i="2"/>
  <c r="N90" i="2"/>
  <c r="N87" i="2"/>
  <c r="N74" i="2"/>
  <c r="N66" i="2"/>
  <c r="N45" i="3"/>
  <c r="N45" i="2" s="1"/>
  <c r="N46" i="2"/>
  <c r="N18" i="2"/>
  <c r="N122" i="2"/>
  <c r="N101" i="2"/>
  <c r="N77" i="2"/>
  <c r="N61" i="2"/>
  <c r="N60" i="3"/>
  <c r="N60" i="2" s="1"/>
  <c r="N53" i="2"/>
  <c r="N166" i="2"/>
  <c r="N156" i="2"/>
  <c r="N128" i="2"/>
  <c r="N110" i="2"/>
  <c r="N71" i="2"/>
  <c r="N72" i="2"/>
  <c r="N8" i="2"/>
  <c r="N155" i="2"/>
  <c r="N141" i="2"/>
  <c r="N57" i="2"/>
  <c r="N43" i="2"/>
  <c r="N147" i="2"/>
  <c r="N136" i="2"/>
  <c r="N130" i="2"/>
  <c r="N123" i="2"/>
  <c r="N82" i="3"/>
  <c r="N82" i="2" s="1"/>
  <c r="N83" i="2"/>
  <c r="N48" i="2"/>
  <c r="N47" i="2"/>
  <c r="N94" i="2"/>
  <c r="N80" i="2"/>
  <c r="N54" i="2"/>
  <c r="N49" i="2"/>
  <c r="N14" i="2"/>
  <c r="N10" i="2"/>
  <c r="N146" i="2"/>
  <c r="N22" i="2"/>
  <c r="N168" i="2"/>
  <c r="N62" i="2"/>
  <c r="N12" i="2"/>
  <c r="N35" i="2"/>
  <c r="N132" i="2"/>
  <c r="N91" i="2"/>
  <c r="N40" i="2"/>
  <c r="N11" i="2"/>
  <c r="N102" i="2"/>
  <c r="N68" i="2"/>
  <c r="N23" i="2"/>
  <c r="N3" i="3"/>
  <c r="N3" i="2" s="1"/>
  <c r="N4" i="2"/>
  <c r="N16" i="2"/>
  <c r="N162" i="2"/>
  <c r="N112" i="2"/>
  <c r="N92" i="2"/>
  <c r="N89" i="2"/>
  <c r="N154" i="2"/>
  <c r="N78" i="2"/>
  <c r="N30" i="2"/>
  <c r="N76" i="2"/>
  <c r="N153" i="2"/>
  <c r="N111" i="2"/>
  <c r="N21" i="2"/>
  <c r="N50" i="2"/>
  <c r="N143" i="2"/>
  <c r="N100" i="2"/>
  <c r="N144" i="2"/>
  <c r="N63" i="2"/>
  <c r="N26" i="2"/>
  <c r="N55" i="2"/>
  <c r="N95" i="2"/>
  <c r="N51" i="2"/>
  <c r="N31" i="2"/>
  <c r="N27" i="2"/>
  <c r="N56" i="2"/>
  <c r="N5" i="2"/>
  <c r="N127" i="2"/>
  <c r="N126" i="3"/>
  <c r="N126" i="2" s="1"/>
  <c r="N69" i="2"/>
  <c r="N145" i="2"/>
  <c r="N67" i="2"/>
  <c r="N167" i="2"/>
  <c r="N17" i="2"/>
  <c r="N15" i="2"/>
  <c r="N32" i="2"/>
  <c r="N106" i="2"/>
  <c r="N116" i="2"/>
  <c r="N52" i="2"/>
  <c r="N42" i="2"/>
  <c r="N75" i="2"/>
  <c r="N148" i="3"/>
  <c r="N148" i="2" s="1"/>
  <c r="N149" i="2"/>
  <c r="N28" i="2"/>
  <c r="BC168" i="2"/>
  <c r="BC163" i="2"/>
  <c r="BC151" i="2"/>
  <c r="BC125" i="2"/>
  <c r="BC121" i="2"/>
  <c r="BC117" i="2"/>
  <c r="BC113" i="2"/>
  <c r="BC109" i="2"/>
  <c r="BC162" i="2"/>
  <c r="BC160" i="2"/>
  <c r="BC157" i="2"/>
  <c r="BC155" i="2"/>
  <c r="BC145" i="2"/>
  <c r="BC141" i="2"/>
  <c r="BC137" i="2"/>
  <c r="BC133" i="2"/>
  <c r="BC129" i="2"/>
  <c r="BC167" i="2"/>
  <c r="BC150" i="2"/>
  <c r="BC128" i="2"/>
  <c r="BC118" i="2"/>
  <c r="BC143" i="2"/>
  <c r="BC124" i="2"/>
  <c r="BC119" i="2"/>
  <c r="BC102" i="2"/>
  <c r="BC98" i="2"/>
  <c r="BC94" i="2"/>
  <c r="BC90" i="2"/>
  <c r="BC164" i="2"/>
  <c r="BC158" i="2"/>
  <c r="BC134" i="2"/>
  <c r="BC112" i="2"/>
  <c r="BC110" i="2"/>
  <c r="BC99" i="2"/>
  <c r="BC84" i="2"/>
  <c r="BC146" i="2"/>
  <c r="BC88" i="2"/>
  <c r="BC136" i="2"/>
  <c r="BC107" i="2"/>
  <c r="BC139" i="2"/>
  <c r="BC130" i="2"/>
  <c r="BC114" i="2"/>
  <c r="BC91" i="2"/>
  <c r="BC6" i="2"/>
  <c r="BC165" i="2"/>
  <c r="BC103" i="2"/>
  <c r="BC95" i="2"/>
  <c r="BC41" i="2"/>
  <c r="BC37" i="2"/>
  <c r="BC33" i="2"/>
  <c r="BC29" i="2"/>
  <c r="BC25" i="2"/>
  <c r="BC24" i="3"/>
  <c r="BC24" i="2" s="1"/>
  <c r="BC19" i="2"/>
  <c r="BC70" i="2"/>
  <c r="BC66" i="2"/>
  <c r="BC62" i="2"/>
  <c r="BC12" i="2"/>
  <c r="BC153" i="2"/>
  <c r="BC147" i="2"/>
  <c r="BC108" i="2"/>
  <c r="BC57" i="2"/>
  <c r="BC52" i="2"/>
  <c r="BC23" i="2"/>
  <c r="BC83" i="2"/>
  <c r="BC82" i="3"/>
  <c r="BC82" i="2" s="1"/>
  <c r="BC68" i="2"/>
  <c r="BC42" i="2"/>
  <c r="BC140" i="2"/>
  <c r="BC120" i="2"/>
  <c r="BC63" i="2"/>
  <c r="BC28" i="2"/>
  <c r="BC10" i="2"/>
  <c r="BC50" i="2"/>
  <c r="BC142" i="2"/>
  <c r="BC138" i="2"/>
  <c r="BC135" i="2"/>
  <c r="BC8" i="2"/>
  <c r="BC169" i="2"/>
  <c r="BC73" i="2"/>
  <c r="BC47" i="2"/>
  <c r="BC35" i="2"/>
  <c r="BC4" i="2"/>
  <c r="BC3" i="3"/>
  <c r="BC3" i="2" s="1"/>
  <c r="BC80" i="2"/>
  <c r="BC161" i="2"/>
  <c r="BC104" i="3"/>
  <c r="BC104" i="2" s="1"/>
  <c r="BC105" i="2"/>
  <c r="BC97" i="2"/>
  <c r="BC93" i="2"/>
  <c r="BC85" i="2"/>
  <c r="BC131" i="2"/>
  <c r="BC159" i="2"/>
  <c r="BC122" i="2"/>
  <c r="BC89" i="2"/>
  <c r="BC154" i="2"/>
  <c r="BC116" i="2"/>
  <c r="BC77" i="2"/>
  <c r="BC44" i="2"/>
  <c r="BC39" i="2"/>
  <c r="BC22" i="2"/>
  <c r="BC87" i="2"/>
  <c r="BC58" i="2"/>
  <c r="BC18" i="2"/>
  <c r="BC132" i="2"/>
  <c r="BC166" i="2"/>
  <c r="BC152" i="2"/>
  <c r="BC14" i="2"/>
  <c r="BC75" i="2"/>
  <c r="BC27" i="2"/>
  <c r="BC156" i="2"/>
  <c r="BC144" i="2"/>
  <c r="BC51" i="2"/>
  <c r="BC49" i="2"/>
  <c r="BC43" i="2"/>
  <c r="BC26" i="2"/>
  <c r="BC16" i="2"/>
  <c r="BC111" i="2"/>
  <c r="BC92" i="2"/>
  <c r="BC71" i="2"/>
  <c r="BC64" i="2"/>
  <c r="BC55" i="2"/>
  <c r="BC31" i="2"/>
  <c r="BC81" i="2"/>
  <c r="BC21" i="2"/>
  <c r="BC100" i="2"/>
  <c r="BC126" i="3"/>
  <c r="BC126" i="2" s="1"/>
  <c r="BC127" i="2"/>
  <c r="BC48" i="2"/>
  <c r="BC38" i="2"/>
  <c r="BC34" i="2"/>
  <c r="BC148" i="3"/>
  <c r="BC148" i="2" s="1"/>
  <c r="BC149" i="2"/>
  <c r="BC106" i="2"/>
  <c r="BC7" i="2"/>
  <c r="BC115" i="2"/>
  <c r="BC40" i="2"/>
  <c r="BC5" i="2"/>
  <c r="BC123" i="2"/>
  <c r="BC67" i="2"/>
  <c r="BC60" i="3"/>
  <c r="BC60" i="2" s="1"/>
  <c r="BC61" i="2"/>
  <c r="BC65" i="2"/>
  <c r="BC15" i="2"/>
  <c r="BC32" i="2"/>
  <c r="BC96" i="2"/>
  <c r="BC74" i="2"/>
  <c r="BC13" i="2"/>
  <c r="BC72" i="2"/>
  <c r="BC69" i="2"/>
  <c r="BC86" i="2"/>
  <c r="BC46" i="2"/>
  <c r="BC45" i="3"/>
  <c r="BC45" i="2" s="1"/>
  <c r="BC79" i="2"/>
  <c r="BC9" i="2"/>
  <c r="BC54" i="2"/>
  <c r="BC78" i="2"/>
  <c r="BC17" i="2"/>
  <c r="BC76" i="2"/>
  <c r="BC56" i="2"/>
  <c r="BC36" i="2"/>
  <c r="BC30" i="2"/>
  <c r="BC20" i="2"/>
  <c r="BC101" i="2"/>
  <c r="BC11" i="2"/>
  <c r="BC53" i="2"/>
  <c r="BE166" i="2"/>
  <c r="BE162" i="2"/>
  <c r="BE158" i="2"/>
  <c r="BE168" i="2"/>
  <c r="BE163" i="2"/>
  <c r="BE151" i="2"/>
  <c r="BE169" i="2"/>
  <c r="BE157" i="2"/>
  <c r="BE155" i="2"/>
  <c r="BE145" i="2"/>
  <c r="BE141" i="2"/>
  <c r="BE137" i="2"/>
  <c r="BE133" i="2"/>
  <c r="BE129" i="2"/>
  <c r="BE167" i="2"/>
  <c r="BE143" i="2"/>
  <c r="BE124" i="2"/>
  <c r="BE119" i="2"/>
  <c r="BE138" i="2"/>
  <c r="BE144" i="2"/>
  <c r="BE136" i="2"/>
  <c r="BE107" i="2"/>
  <c r="BE98" i="2"/>
  <c r="BE165" i="2"/>
  <c r="BE97" i="2"/>
  <c r="BE79" i="2"/>
  <c r="BE70" i="2"/>
  <c r="BE66" i="2"/>
  <c r="BE62" i="2"/>
  <c r="BE12" i="2"/>
  <c r="BE147" i="2"/>
  <c r="BE106" i="2"/>
  <c r="BE80" i="2"/>
  <c r="BE57" i="2"/>
  <c r="BE53" i="2"/>
  <c r="BE49" i="2"/>
  <c r="BE5" i="2"/>
  <c r="BE126" i="3"/>
  <c r="BE126" i="2" s="1"/>
  <c r="BE127" i="2"/>
  <c r="BE92" i="2"/>
  <c r="BE18" i="2"/>
  <c r="BE140" i="2"/>
  <c r="BE125" i="2"/>
  <c r="BE120" i="2"/>
  <c r="BE102" i="2"/>
  <c r="BE63" i="2"/>
  <c r="BE28" i="2"/>
  <c r="BE10" i="2"/>
  <c r="BE109" i="2"/>
  <c r="BE88" i="2"/>
  <c r="BE78" i="2"/>
  <c r="BE72" i="2"/>
  <c r="BE69" i="2"/>
  <c r="BE47" i="2"/>
  <c r="BE43" i="2"/>
  <c r="BE13" i="2"/>
  <c r="BE134" i="2"/>
  <c r="BE94" i="2"/>
  <c r="BE76" i="2"/>
  <c r="BE48" i="2"/>
  <c r="BE17" i="2"/>
  <c r="BE130" i="2"/>
  <c r="BE128" i="2"/>
  <c r="BE83" i="2"/>
  <c r="BE82" i="3"/>
  <c r="BE82" i="2" s="1"/>
  <c r="BE73" i="2"/>
  <c r="BE35" i="2"/>
  <c r="BE6" i="2"/>
  <c r="BE3" i="3"/>
  <c r="BE3" i="2" s="1"/>
  <c r="BE4" i="2"/>
  <c r="BE160" i="2"/>
  <c r="BE84" i="2"/>
  <c r="BE44" i="2"/>
  <c r="BE42" i="2"/>
  <c r="BE159" i="2"/>
  <c r="BE122" i="2"/>
  <c r="BE112" i="2"/>
  <c r="BE89" i="2"/>
  <c r="BE153" i="2"/>
  <c r="BE142" i="2"/>
  <c r="BE139" i="2"/>
  <c r="BE131" i="2"/>
  <c r="BE54" i="2"/>
  <c r="BE41" i="2"/>
  <c r="BE31" i="2"/>
  <c r="BE146" i="2"/>
  <c r="BE65" i="2"/>
  <c r="BE55" i="2"/>
  <c r="BE40" i="2"/>
  <c r="BE152" i="2"/>
  <c r="BE14" i="2"/>
  <c r="BE74" i="2"/>
  <c r="BE19" i="2"/>
  <c r="BE11" i="2"/>
  <c r="BE132" i="2"/>
  <c r="BE103" i="2"/>
  <c r="BE99" i="2"/>
  <c r="BE27" i="2"/>
  <c r="BE111" i="2"/>
  <c r="BE115" i="2"/>
  <c r="BE96" i="2"/>
  <c r="BE85" i="2"/>
  <c r="BE75" i="2"/>
  <c r="BE26" i="2"/>
  <c r="BE33" i="2"/>
  <c r="BE161" i="2"/>
  <c r="BE114" i="2"/>
  <c r="BE104" i="3"/>
  <c r="BE104" i="2" s="1"/>
  <c r="BE105" i="2"/>
  <c r="BE81" i="2"/>
  <c r="BE71" i="2"/>
  <c r="BE21" i="2"/>
  <c r="BE148" i="3"/>
  <c r="BE148" i="2" s="1"/>
  <c r="BE149" i="2"/>
  <c r="BE118" i="2"/>
  <c r="BE100" i="2"/>
  <c r="BE113" i="2"/>
  <c r="BE108" i="2"/>
  <c r="BE16" i="2"/>
  <c r="BE110" i="2"/>
  <c r="BE95" i="2"/>
  <c r="BE23" i="2"/>
  <c r="BE15" i="2"/>
  <c r="BE32" i="2"/>
  <c r="BE22" i="2"/>
  <c r="BE64" i="2"/>
  <c r="BE52" i="2"/>
  <c r="BE25" i="2"/>
  <c r="BE24" i="3"/>
  <c r="BE24" i="2" s="1"/>
  <c r="BE7" i="2"/>
  <c r="BE51" i="2"/>
  <c r="BE56" i="2"/>
  <c r="BE36" i="2"/>
  <c r="BE20" i="2"/>
  <c r="BE37" i="2"/>
  <c r="BE34" i="2"/>
  <c r="BE8" i="2"/>
  <c r="BE150" i="2"/>
  <c r="BE58" i="2"/>
  <c r="BE164" i="2"/>
  <c r="BE117" i="2"/>
  <c r="BE116" i="2"/>
  <c r="BE87" i="2"/>
  <c r="BE101" i="2"/>
  <c r="BE90" i="2"/>
  <c r="BE121" i="2"/>
  <c r="BE39" i="2"/>
  <c r="BE123" i="2"/>
  <c r="BE67" i="2"/>
  <c r="BE60" i="3"/>
  <c r="BE60" i="2" s="1"/>
  <c r="BE61" i="2"/>
  <c r="BE156" i="2"/>
  <c r="BE77" i="2"/>
  <c r="BE30" i="2"/>
  <c r="BE86" i="2"/>
  <c r="BE45" i="3"/>
  <c r="BE45" i="2" s="1"/>
  <c r="BE46" i="2"/>
  <c r="BE93" i="2"/>
  <c r="BE135" i="2"/>
  <c r="BE29" i="2"/>
  <c r="BE9" i="2"/>
  <c r="BE154" i="2"/>
  <c r="BE68" i="2"/>
  <c r="BE50" i="2"/>
  <c r="BE91" i="2"/>
  <c r="BE38" i="2"/>
  <c r="AB168" i="2"/>
  <c r="AB164" i="2"/>
  <c r="AB160" i="2"/>
  <c r="AB156" i="2"/>
  <c r="AB155" i="2"/>
  <c r="AB167" i="2"/>
  <c r="AB162" i="2"/>
  <c r="AB151" i="2"/>
  <c r="AB122" i="2"/>
  <c r="AB118" i="2"/>
  <c r="AB114" i="2"/>
  <c r="AB110" i="2"/>
  <c r="AB106" i="2"/>
  <c r="AB142" i="2"/>
  <c r="AB137" i="2"/>
  <c r="AB132" i="2"/>
  <c r="AB150" i="2"/>
  <c r="AB166" i="2"/>
  <c r="AB147" i="2"/>
  <c r="AB126" i="3"/>
  <c r="AB126" i="2" s="1"/>
  <c r="AB127" i="2"/>
  <c r="AB123" i="2"/>
  <c r="AB113" i="2"/>
  <c r="AB108" i="2"/>
  <c r="AB129" i="2"/>
  <c r="AB103" i="2"/>
  <c r="AB81" i="2"/>
  <c r="AB141" i="2"/>
  <c r="AB119" i="2"/>
  <c r="AB112" i="2"/>
  <c r="AB101" i="2"/>
  <c r="AB91" i="2"/>
  <c r="AB152" i="2"/>
  <c r="AB85" i="2"/>
  <c r="AB125" i="2"/>
  <c r="AB79" i="2"/>
  <c r="AB55" i="2"/>
  <c r="AB51" i="2"/>
  <c r="AB47" i="2"/>
  <c r="AB15" i="2"/>
  <c r="AB124" i="2"/>
  <c r="AB73" i="2"/>
  <c r="AB8" i="2"/>
  <c r="AB148" i="3"/>
  <c r="AB148" i="2" s="1"/>
  <c r="AB149" i="2"/>
  <c r="AB136" i="2"/>
  <c r="AB84" i="2"/>
  <c r="AB72" i="2"/>
  <c r="AB21" i="2"/>
  <c r="AB115" i="2"/>
  <c r="AB88" i="2"/>
  <c r="AB56" i="2"/>
  <c r="AB45" i="3"/>
  <c r="AB45" i="2" s="1"/>
  <c r="AB46" i="2"/>
  <c r="AB22" i="2"/>
  <c r="AB19" i="2"/>
  <c r="AB143" i="2"/>
  <c r="AB135" i="2"/>
  <c r="AB130" i="2"/>
  <c r="AB83" i="2"/>
  <c r="AB82" i="3"/>
  <c r="AB82" i="2" s="1"/>
  <c r="AB42" i="2"/>
  <c r="AB37" i="2"/>
  <c r="AB32" i="2"/>
  <c r="AB16" i="2"/>
  <c r="AB6" i="2"/>
  <c r="AB131" i="2"/>
  <c r="AB104" i="3"/>
  <c r="AB104" i="2" s="1"/>
  <c r="AB105" i="2"/>
  <c r="AB65" i="2"/>
  <c r="AB40" i="2"/>
  <c r="AB120" i="2"/>
  <c r="AB80" i="2"/>
  <c r="AB10" i="2"/>
  <c r="AB13" i="2"/>
  <c r="AB121" i="2"/>
  <c r="AB163" i="2"/>
  <c r="AB116" i="2"/>
  <c r="AB90" i="2"/>
  <c r="AB86" i="2"/>
  <c r="AB66" i="2"/>
  <c r="AB53" i="2"/>
  <c r="AB31" i="2"/>
  <c r="AB30" i="2"/>
  <c r="AB95" i="2"/>
  <c r="AB52" i="2"/>
  <c r="AB109" i="2"/>
  <c r="AB71" i="2"/>
  <c r="AB23" i="2"/>
  <c r="AB11" i="2"/>
  <c r="AB145" i="2"/>
  <c r="AB134" i="2"/>
  <c r="AB76" i="2"/>
  <c r="AB29" i="2"/>
  <c r="AB5" i="2"/>
  <c r="AB102" i="2"/>
  <c r="AB100" i="2"/>
  <c r="AB63" i="2"/>
  <c r="AB61" i="2"/>
  <c r="AB60" i="3"/>
  <c r="AB60" i="2" s="1"/>
  <c r="AB34" i="2"/>
  <c r="AB20" i="2"/>
  <c r="AB169" i="2"/>
  <c r="AB94" i="2"/>
  <c r="AB87" i="2"/>
  <c r="AB25" i="2"/>
  <c r="AB24" i="3"/>
  <c r="AB24" i="2" s="1"/>
  <c r="AB7" i="2"/>
  <c r="AB107" i="2"/>
  <c r="AB144" i="2"/>
  <c r="AB93" i="2"/>
  <c r="AB69" i="2"/>
  <c r="AB161" i="2"/>
  <c r="AB138" i="2"/>
  <c r="AB48" i="2"/>
  <c r="AB18" i="2"/>
  <c r="AB36" i="2"/>
  <c r="AB50" i="2"/>
  <c r="AB98" i="2"/>
  <c r="AB44" i="2"/>
  <c r="AB117" i="2"/>
  <c r="AB97" i="2"/>
  <c r="AB54" i="2"/>
  <c r="AB157" i="2"/>
  <c r="AB92" i="2"/>
  <c r="AB27" i="2"/>
  <c r="AB78" i="2"/>
  <c r="AB43" i="2"/>
  <c r="AB9" i="2"/>
  <c r="AB67" i="2"/>
  <c r="AB139" i="2"/>
  <c r="AB39" i="2"/>
  <c r="AB26" i="2"/>
  <c r="AB165" i="2"/>
  <c r="AB35" i="2"/>
  <c r="AB128" i="2"/>
  <c r="AB62" i="2"/>
  <c r="AB3" i="3"/>
  <c r="AB3" i="2" s="1"/>
  <c r="AB4" i="2"/>
  <c r="AB133" i="2"/>
  <c r="AB140" i="2"/>
  <c r="AB68" i="2"/>
  <c r="AB99" i="2"/>
  <c r="AB49" i="2"/>
  <c r="AB154" i="2"/>
  <c r="AB17" i="2"/>
  <c r="AB70" i="2"/>
  <c r="AB77" i="2"/>
  <c r="AB38" i="2"/>
  <c r="AB75" i="2"/>
  <c r="AB159" i="2"/>
  <c r="AB14" i="2"/>
  <c r="AB158" i="2"/>
  <c r="AB33" i="2"/>
  <c r="AB153" i="2"/>
  <c r="AB89" i="2"/>
  <c r="AB12" i="2"/>
  <c r="AB28" i="2"/>
  <c r="AB146" i="2"/>
  <c r="AB64" i="2"/>
  <c r="AB57" i="2"/>
  <c r="AB58" i="2"/>
  <c r="AB74" i="2"/>
  <c r="AB111" i="2"/>
  <c r="AB96" i="2"/>
  <c r="AB41" i="2"/>
  <c r="AY167" i="2"/>
  <c r="AY163" i="2"/>
  <c r="AY159" i="2"/>
  <c r="AY155" i="2"/>
  <c r="AY152" i="2"/>
  <c r="AY165" i="2"/>
  <c r="AY146" i="2"/>
  <c r="AY142" i="2"/>
  <c r="AY138" i="2"/>
  <c r="AY134" i="2"/>
  <c r="AY130" i="2"/>
  <c r="AY151" i="2"/>
  <c r="AY137" i="2"/>
  <c r="AY132" i="2"/>
  <c r="AY153" i="2"/>
  <c r="AY122" i="2"/>
  <c r="AY103" i="2"/>
  <c r="AY147" i="2"/>
  <c r="AY126" i="3"/>
  <c r="AY126" i="2" s="1"/>
  <c r="AY127" i="2"/>
  <c r="AY123" i="2"/>
  <c r="AY113" i="2"/>
  <c r="AY108" i="2"/>
  <c r="AY91" i="2"/>
  <c r="AY169" i="2"/>
  <c r="AY158" i="2"/>
  <c r="AY139" i="2"/>
  <c r="AY100" i="2"/>
  <c r="AY90" i="2"/>
  <c r="AY124" i="2"/>
  <c r="AY117" i="2"/>
  <c r="AY80" i="2"/>
  <c r="AY76" i="2"/>
  <c r="AY72" i="2"/>
  <c r="AY131" i="2"/>
  <c r="AY79" i="2"/>
  <c r="AY42" i="2"/>
  <c r="AY38" i="2"/>
  <c r="AY34" i="2"/>
  <c r="AY30" i="2"/>
  <c r="AY26" i="2"/>
  <c r="AY14" i="2"/>
  <c r="AY140" i="2"/>
  <c r="AY67" i="2"/>
  <c r="AY63" i="2"/>
  <c r="AY7" i="2"/>
  <c r="AY128" i="2"/>
  <c r="AY116" i="2"/>
  <c r="AY84" i="2"/>
  <c r="AY71" i="2"/>
  <c r="AY58" i="2"/>
  <c r="AY54" i="2"/>
  <c r="AY50" i="2"/>
  <c r="AY46" i="2"/>
  <c r="AY45" i="3"/>
  <c r="AY45" i="2" s="1"/>
  <c r="AY20" i="2"/>
  <c r="AY161" i="2"/>
  <c r="AY119" i="2"/>
  <c r="AY99" i="2"/>
  <c r="AY95" i="2"/>
  <c r="AY92" i="2"/>
  <c r="AY86" i="2"/>
  <c r="AY75" i="2"/>
  <c r="AY56" i="2"/>
  <c r="AY22" i="2"/>
  <c r="AY19" i="2"/>
  <c r="AY114" i="2"/>
  <c r="AY157" i="2"/>
  <c r="AY150" i="2"/>
  <c r="AY118" i="2"/>
  <c r="AY37" i="2"/>
  <c r="AY32" i="2"/>
  <c r="AY16" i="2"/>
  <c r="AY6" i="2"/>
  <c r="AY112" i="2"/>
  <c r="AY109" i="2"/>
  <c r="AY106" i="2"/>
  <c r="AY102" i="2"/>
  <c r="AY111" i="2"/>
  <c r="AY85" i="2"/>
  <c r="AY77" i="2"/>
  <c r="AY52" i="2"/>
  <c r="AY28" i="2"/>
  <c r="AY23" i="2"/>
  <c r="AY17" i="2"/>
  <c r="AY156" i="2"/>
  <c r="AY70" i="2"/>
  <c r="AY55" i="2"/>
  <c r="AY115" i="2"/>
  <c r="AY78" i="2"/>
  <c r="AY74" i="2"/>
  <c r="AY57" i="2"/>
  <c r="AY43" i="2"/>
  <c r="AY160" i="2"/>
  <c r="AY120" i="2"/>
  <c r="AY68" i="2"/>
  <c r="AY33" i="2"/>
  <c r="AY144" i="2"/>
  <c r="AY168" i="2"/>
  <c r="AY21" i="2"/>
  <c r="AY10" i="2"/>
  <c r="AY125" i="2"/>
  <c r="AY48" i="2"/>
  <c r="AY25" i="2"/>
  <c r="AY24" i="3"/>
  <c r="AY24" i="2" s="1"/>
  <c r="AY73" i="2"/>
  <c r="AY101" i="2"/>
  <c r="AY49" i="2"/>
  <c r="AY143" i="2"/>
  <c r="AY96" i="2"/>
  <c r="AY89" i="2"/>
  <c r="AY61" i="2"/>
  <c r="AY60" i="3"/>
  <c r="AY60" i="2" s="1"/>
  <c r="AY39" i="2"/>
  <c r="AY81" i="2"/>
  <c r="AY51" i="2"/>
  <c r="AY15" i="2"/>
  <c r="AY8" i="2"/>
  <c r="AY88" i="2"/>
  <c r="AY145" i="2"/>
  <c r="AY105" i="2"/>
  <c r="AY104" i="3"/>
  <c r="AY104" i="2" s="1"/>
  <c r="AY53" i="2"/>
  <c r="AY41" i="2"/>
  <c r="AY3" i="3"/>
  <c r="AY3" i="2" s="1"/>
  <c r="AY4" i="2"/>
  <c r="AY162" i="2"/>
  <c r="AY47" i="2"/>
  <c r="AY135" i="2"/>
  <c r="AY133" i="2"/>
  <c r="AY65" i="2"/>
  <c r="AY27" i="2"/>
  <c r="AY107" i="2"/>
  <c r="AY136" i="2"/>
  <c r="AY149" i="2"/>
  <c r="AY148" i="3"/>
  <c r="AY148" i="2" s="1"/>
  <c r="AY83" i="2"/>
  <c r="AY82" i="3"/>
  <c r="AY82" i="2" s="1"/>
  <c r="AY31" i="2"/>
  <c r="AY29" i="2"/>
  <c r="AY66" i="2"/>
  <c r="AY129" i="2"/>
  <c r="AY13" i="2"/>
  <c r="AY110" i="2"/>
  <c r="AY64" i="2"/>
  <c r="AY166" i="2"/>
  <c r="AY40" i="2"/>
  <c r="AY141" i="2"/>
  <c r="AY94" i="2"/>
  <c r="AY11" i="2"/>
  <c r="AY5" i="2"/>
  <c r="AY98" i="2"/>
  <c r="AY18" i="2"/>
  <c r="AY9" i="2"/>
  <c r="AY97" i="2"/>
  <c r="AY12" i="2"/>
  <c r="AY69" i="2"/>
  <c r="AY87" i="2"/>
  <c r="AY62" i="2"/>
  <c r="AY44" i="2"/>
  <c r="AY121" i="2"/>
  <c r="AY36" i="2"/>
  <c r="AY154" i="2"/>
  <c r="AY35" i="2"/>
  <c r="AY164" i="2"/>
  <c r="AY93" i="2"/>
  <c r="AO169" i="2"/>
  <c r="AO165" i="2"/>
  <c r="AO161" i="2"/>
  <c r="AO157" i="2"/>
  <c r="AO160" i="2"/>
  <c r="AO155" i="2"/>
  <c r="AO154" i="2"/>
  <c r="AO150" i="2"/>
  <c r="AO166" i="2"/>
  <c r="AO144" i="2"/>
  <c r="AO140" i="2"/>
  <c r="AO136" i="2"/>
  <c r="AO132" i="2"/>
  <c r="AO128" i="2"/>
  <c r="AO125" i="2"/>
  <c r="AO120" i="2"/>
  <c r="AO110" i="2"/>
  <c r="AO149" i="2"/>
  <c r="AO148" i="3"/>
  <c r="AO148" i="2" s="1"/>
  <c r="AO135" i="2"/>
  <c r="AO111" i="2"/>
  <c r="AO145" i="2"/>
  <c r="AO130" i="2"/>
  <c r="AO142" i="2"/>
  <c r="AO118" i="2"/>
  <c r="AO95" i="2"/>
  <c r="AO168" i="2"/>
  <c r="AO162" i="2"/>
  <c r="AO78" i="2"/>
  <c r="AO74" i="2"/>
  <c r="AO96" i="2"/>
  <c r="AO44" i="2"/>
  <c r="AO40" i="2"/>
  <c r="AO36" i="2"/>
  <c r="AO32" i="2"/>
  <c r="AO28" i="2"/>
  <c r="AO3" i="3"/>
  <c r="AO3" i="2" s="1"/>
  <c r="AO4" i="2"/>
  <c r="AO134" i="2"/>
  <c r="AO107" i="2"/>
  <c r="AO69" i="2"/>
  <c r="AO65" i="2"/>
  <c r="AO60" i="3"/>
  <c r="AO60" i="2" s="1"/>
  <c r="AO61" i="2"/>
  <c r="AO17" i="2"/>
  <c r="AO159" i="2"/>
  <c r="AO133" i="2"/>
  <c r="AO108" i="2"/>
  <c r="AO102" i="2"/>
  <c r="AO99" i="2"/>
  <c r="AO76" i="2"/>
  <c r="AO56" i="2"/>
  <c r="AO52" i="2"/>
  <c r="AO48" i="2"/>
  <c r="AO10" i="2"/>
  <c r="AO138" i="2"/>
  <c r="AO106" i="2"/>
  <c r="AO93" i="2"/>
  <c r="AO90" i="2"/>
  <c r="AO87" i="2"/>
  <c r="AO34" i="2"/>
  <c r="AO29" i="2"/>
  <c r="AO14" i="2"/>
  <c r="AO163" i="2"/>
  <c r="AO104" i="3"/>
  <c r="AO104" i="2" s="1"/>
  <c r="AO105" i="2"/>
  <c r="AO70" i="2"/>
  <c r="AO103" i="2"/>
  <c r="AO54" i="2"/>
  <c r="AO49" i="2"/>
  <c r="AO35" i="2"/>
  <c r="AO21" i="2"/>
  <c r="AO11" i="2"/>
  <c r="AO92" i="2"/>
  <c r="AO88" i="2"/>
  <c r="AO46" i="2"/>
  <c r="AO45" i="3"/>
  <c r="AO45" i="2" s="1"/>
  <c r="AO41" i="2"/>
  <c r="AO12" i="2"/>
  <c r="AO137" i="2"/>
  <c r="AO91" i="2"/>
  <c r="AO7" i="2"/>
  <c r="AO58" i="2"/>
  <c r="AO31" i="2"/>
  <c r="AO15" i="2"/>
  <c r="AO151" i="2"/>
  <c r="AO77" i="2"/>
  <c r="AO22" i="2"/>
  <c r="AO20" i="2"/>
  <c r="AO13" i="2"/>
  <c r="AO123" i="2"/>
  <c r="AO47" i="2"/>
  <c r="AO129" i="2"/>
  <c r="AO147" i="2"/>
  <c r="AO24" i="3"/>
  <c r="AO24" i="2" s="1"/>
  <c r="AO25" i="2"/>
  <c r="AO8" i="2"/>
  <c r="AO141" i="2"/>
  <c r="AO139" i="2"/>
  <c r="AO112" i="2"/>
  <c r="AO89" i="2"/>
  <c r="AO121" i="2"/>
  <c r="AO97" i="2"/>
  <c r="AO57" i="2"/>
  <c r="AO153" i="2"/>
  <c r="AO167" i="2"/>
  <c r="AO164" i="2"/>
  <c r="AO43" i="2"/>
  <c r="AO127" i="2"/>
  <c r="AO126" i="3"/>
  <c r="AO126" i="2" s="1"/>
  <c r="AO37" i="2"/>
  <c r="AO117" i="2"/>
  <c r="AO116" i="2"/>
  <c r="AO86" i="2"/>
  <c r="AO79" i="2"/>
  <c r="AO30" i="2"/>
  <c r="AO114" i="2"/>
  <c r="AO146" i="2"/>
  <c r="AO71" i="2"/>
  <c r="AO85" i="2"/>
  <c r="AO156" i="2"/>
  <c r="AO63" i="2"/>
  <c r="AO143" i="2"/>
  <c r="AO122" i="2"/>
  <c r="AO101" i="2"/>
  <c r="AO5" i="2"/>
  <c r="AO18" i="2"/>
  <c r="AO98" i="2"/>
  <c r="AO38" i="2"/>
  <c r="AO119" i="2"/>
  <c r="AO33" i="2"/>
  <c r="AO23" i="2"/>
  <c r="AO115" i="2"/>
  <c r="AO9" i="2"/>
  <c r="AO68" i="2"/>
  <c r="AO73" i="2"/>
  <c r="AO66" i="2"/>
  <c r="AO158" i="2"/>
  <c r="AO124" i="2"/>
  <c r="AO42" i="2"/>
  <c r="AO113" i="2"/>
  <c r="AO62" i="2"/>
  <c r="AO109" i="2"/>
  <c r="AO75" i="2"/>
  <c r="AO67" i="2"/>
  <c r="AO16" i="2"/>
  <c r="AO152" i="2"/>
  <c r="AO53" i="2"/>
  <c r="AO6" i="2"/>
  <c r="AO94" i="2"/>
  <c r="AO51" i="2"/>
  <c r="AO39" i="2"/>
  <c r="AO72" i="2"/>
  <c r="AO82" i="3"/>
  <c r="AO82" i="2" s="1"/>
  <c r="AO83" i="2"/>
  <c r="AO100" i="2"/>
  <c r="AO27" i="2"/>
  <c r="AO81" i="2"/>
  <c r="AO50" i="2"/>
  <c r="AO64" i="2"/>
  <c r="AO80" i="2"/>
  <c r="AO84" i="2"/>
  <c r="AO26" i="2"/>
  <c r="AO19" i="2"/>
  <c r="AO55" i="2"/>
  <c r="AO131" i="2"/>
  <c r="J168" i="2"/>
  <c r="J169" i="2"/>
  <c r="J159" i="2"/>
  <c r="J152" i="2"/>
  <c r="J164" i="2"/>
  <c r="J122" i="2"/>
  <c r="J118" i="2"/>
  <c r="J114" i="2"/>
  <c r="J110" i="2"/>
  <c r="J146" i="2"/>
  <c r="J142" i="2"/>
  <c r="J138" i="2"/>
  <c r="J134" i="2"/>
  <c r="J130" i="2"/>
  <c r="J161" i="2"/>
  <c r="J154" i="2"/>
  <c r="J143" i="2"/>
  <c r="J124" i="2"/>
  <c r="J119" i="2"/>
  <c r="J109" i="2"/>
  <c r="J103" i="2"/>
  <c r="J99" i="2"/>
  <c r="J95" i="2"/>
  <c r="J91" i="2"/>
  <c r="J150" i="2"/>
  <c r="J133" i="2"/>
  <c r="J100" i="2"/>
  <c r="J90" i="2"/>
  <c r="J85" i="2"/>
  <c r="J163" i="2"/>
  <c r="J158" i="2"/>
  <c r="J140" i="2"/>
  <c r="J123" i="2"/>
  <c r="J116" i="2"/>
  <c r="J128" i="2"/>
  <c r="J89" i="2"/>
  <c r="J155" i="2"/>
  <c r="J132" i="2"/>
  <c r="J21" i="2"/>
  <c r="J108" i="2"/>
  <c r="J92" i="2"/>
  <c r="J42" i="2"/>
  <c r="J38" i="2"/>
  <c r="J34" i="2"/>
  <c r="J30" i="2"/>
  <c r="J26" i="2"/>
  <c r="J14" i="2"/>
  <c r="J165" i="2"/>
  <c r="J141" i="2"/>
  <c r="J101" i="2"/>
  <c r="J71" i="2"/>
  <c r="J67" i="2"/>
  <c r="J63" i="2"/>
  <c r="J7" i="2"/>
  <c r="J167" i="2"/>
  <c r="J160" i="2"/>
  <c r="J139" i="2"/>
  <c r="J106" i="2"/>
  <c r="J93" i="2"/>
  <c r="J68" i="2"/>
  <c r="J153" i="2"/>
  <c r="J33" i="2"/>
  <c r="J28" i="2"/>
  <c r="J20" i="2"/>
  <c r="J10" i="2"/>
  <c r="J162" i="2"/>
  <c r="J96" i="2"/>
  <c r="J87" i="2"/>
  <c r="J69" i="2"/>
  <c r="J47" i="2"/>
  <c r="J43" i="2"/>
  <c r="J112" i="2"/>
  <c r="J97" i="2"/>
  <c r="J78" i="2"/>
  <c r="J72" i="2"/>
  <c r="J39" i="2"/>
  <c r="J22" i="2"/>
  <c r="J107" i="2"/>
  <c r="J64" i="2"/>
  <c r="J58" i="2"/>
  <c r="J27" i="2"/>
  <c r="J135" i="2"/>
  <c r="J117" i="2"/>
  <c r="J98" i="2"/>
  <c r="J45" i="3"/>
  <c r="J45" i="2" s="1"/>
  <c r="J46" i="2"/>
  <c r="J41" i="2"/>
  <c r="J12" i="2"/>
  <c r="J148" i="3"/>
  <c r="J148" i="2" s="1"/>
  <c r="J149" i="2"/>
  <c r="J77" i="2"/>
  <c r="J166" i="2"/>
  <c r="J136" i="2"/>
  <c r="J131" i="2"/>
  <c r="J74" i="2"/>
  <c r="J25" i="2"/>
  <c r="J24" i="3"/>
  <c r="J24" i="2" s="1"/>
  <c r="J23" i="2"/>
  <c r="J15" i="2"/>
  <c r="J4" i="2"/>
  <c r="J3" i="3"/>
  <c r="J3" i="2" s="1"/>
  <c r="J104" i="3"/>
  <c r="J104" i="2" s="1"/>
  <c r="J105" i="2"/>
  <c r="J70" i="2"/>
  <c r="J111" i="2"/>
  <c r="J73" i="2"/>
  <c r="J65" i="2"/>
  <c r="J13" i="2"/>
  <c r="J54" i="2"/>
  <c r="J147" i="2"/>
  <c r="J129" i="2"/>
  <c r="J48" i="2"/>
  <c r="J32" i="2"/>
  <c r="J80" i="2"/>
  <c r="J9" i="2"/>
  <c r="J51" i="2"/>
  <c r="J126" i="3"/>
  <c r="J126" i="2" s="1"/>
  <c r="J127" i="2"/>
  <c r="J55" i="2"/>
  <c r="J31" i="2"/>
  <c r="J121" i="2"/>
  <c r="J94" i="2"/>
  <c r="J35" i="2"/>
  <c r="J84" i="2"/>
  <c r="J66" i="2"/>
  <c r="J6" i="2"/>
  <c r="J120" i="2"/>
  <c r="J125" i="2"/>
  <c r="J75" i="2"/>
  <c r="J57" i="2"/>
  <c r="J102" i="2"/>
  <c r="J83" i="2"/>
  <c r="J82" i="3"/>
  <c r="J82" i="2" s="1"/>
  <c r="J62" i="2"/>
  <c r="J156" i="2"/>
  <c r="J86" i="2"/>
  <c r="J50" i="2"/>
  <c r="J81" i="2"/>
  <c r="J11" i="2"/>
  <c r="J56" i="2"/>
  <c r="J36" i="2"/>
  <c r="J151" i="2"/>
  <c r="J40" i="2"/>
  <c r="J88" i="2"/>
  <c r="J44" i="2"/>
  <c r="J144" i="2"/>
  <c r="J5" i="2"/>
  <c r="J49" i="2"/>
  <c r="J18" i="2"/>
  <c r="J79" i="2"/>
  <c r="J157" i="2"/>
  <c r="J113" i="2"/>
  <c r="J19" i="2"/>
  <c r="J137" i="2"/>
  <c r="J16" i="2"/>
  <c r="J61" i="2"/>
  <c r="J60" i="3"/>
  <c r="J60" i="2" s="1"/>
  <c r="J145" i="2"/>
  <c r="J17" i="2"/>
  <c r="J8" i="2"/>
  <c r="J37" i="2"/>
  <c r="J53" i="2"/>
  <c r="J29" i="2"/>
  <c r="J115" i="2"/>
  <c r="J76" i="2"/>
  <c r="J52" i="2"/>
  <c r="AJ166" i="2"/>
  <c r="AJ162" i="2"/>
  <c r="AJ158" i="2"/>
  <c r="AJ151" i="2"/>
  <c r="AJ164" i="2"/>
  <c r="AJ159" i="2"/>
  <c r="AJ152" i="2"/>
  <c r="AJ145" i="2"/>
  <c r="AJ141" i="2"/>
  <c r="AJ137" i="2"/>
  <c r="AJ133" i="2"/>
  <c r="AJ129" i="2"/>
  <c r="AJ144" i="2"/>
  <c r="AJ163" i="2"/>
  <c r="AJ154" i="2"/>
  <c r="AJ114" i="2"/>
  <c r="AJ109" i="2"/>
  <c r="AJ102" i="2"/>
  <c r="AJ139" i="2"/>
  <c r="AJ120" i="2"/>
  <c r="AJ115" i="2"/>
  <c r="AJ98" i="2"/>
  <c r="AJ161" i="2"/>
  <c r="AJ140" i="2"/>
  <c r="AJ138" i="2"/>
  <c r="AJ123" i="2"/>
  <c r="AJ116" i="2"/>
  <c r="AJ97" i="2"/>
  <c r="AJ167" i="2"/>
  <c r="AJ157" i="2"/>
  <c r="AJ128" i="2"/>
  <c r="AJ121" i="2"/>
  <c r="AJ104" i="3"/>
  <c r="AJ104" i="2" s="1"/>
  <c r="AJ105" i="2"/>
  <c r="AJ79" i="2"/>
  <c r="AJ75" i="2"/>
  <c r="AJ71" i="2"/>
  <c r="AJ122" i="2"/>
  <c r="AJ111" i="2"/>
  <c r="AJ101" i="2"/>
  <c r="AJ89" i="2"/>
  <c r="AJ41" i="2"/>
  <c r="AJ37" i="2"/>
  <c r="AJ33" i="2"/>
  <c r="AJ29" i="2"/>
  <c r="AJ24" i="3"/>
  <c r="AJ24" i="2" s="1"/>
  <c r="AJ25" i="2"/>
  <c r="AJ19" i="2"/>
  <c r="AJ153" i="2"/>
  <c r="AJ135" i="2"/>
  <c r="AJ85" i="2"/>
  <c r="AJ70" i="2"/>
  <c r="AJ66" i="2"/>
  <c r="AJ62" i="2"/>
  <c r="AJ12" i="2"/>
  <c r="AJ169" i="2"/>
  <c r="AJ143" i="2"/>
  <c r="AJ96" i="2"/>
  <c r="AJ86" i="2"/>
  <c r="AJ57" i="2"/>
  <c r="AJ53" i="2"/>
  <c r="AJ49" i="2"/>
  <c r="AJ5" i="2"/>
  <c r="AJ48" i="2"/>
  <c r="AJ17" i="2"/>
  <c r="AJ112" i="2"/>
  <c r="AJ93" i="2"/>
  <c r="AJ64" i="2"/>
  <c r="AJ38" i="2"/>
  <c r="AJ20" i="2"/>
  <c r="AJ132" i="2"/>
  <c r="AJ131" i="2"/>
  <c r="AJ87" i="2"/>
  <c r="AJ80" i="2"/>
  <c r="AJ44" i="2"/>
  <c r="AJ4" i="2"/>
  <c r="AJ3" i="3"/>
  <c r="AJ3" i="2" s="1"/>
  <c r="AJ148" i="3"/>
  <c r="AJ148" i="2" s="1"/>
  <c r="AJ149" i="2"/>
  <c r="AJ134" i="2"/>
  <c r="AJ118" i="2"/>
  <c r="AJ110" i="2"/>
  <c r="AJ39" i="2"/>
  <c r="AJ22" i="2"/>
  <c r="AJ13" i="2"/>
  <c r="AJ147" i="2"/>
  <c r="AJ125" i="2"/>
  <c r="AJ69" i="2"/>
  <c r="AJ27" i="2"/>
  <c r="AJ94" i="2"/>
  <c r="AJ72" i="2"/>
  <c r="AJ28" i="2"/>
  <c r="AJ11" i="2"/>
  <c r="AJ82" i="3"/>
  <c r="AJ82" i="2" s="1"/>
  <c r="AJ83" i="2"/>
  <c r="AJ63" i="2"/>
  <c r="AJ36" i="2"/>
  <c r="AJ18" i="2"/>
  <c r="AJ9" i="2"/>
  <c r="AJ91" i="2"/>
  <c r="AJ61" i="2"/>
  <c r="AJ60" i="3"/>
  <c r="AJ60" i="2" s="1"/>
  <c r="AJ50" i="2"/>
  <c r="AJ16" i="2"/>
  <c r="AJ10" i="2"/>
  <c r="AJ113" i="2"/>
  <c r="AJ107" i="2"/>
  <c r="AJ81" i="2"/>
  <c r="AJ68" i="2"/>
  <c r="AJ35" i="2"/>
  <c r="AJ7" i="2"/>
  <c r="AJ6" i="2"/>
  <c r="AJ168" i="2"/>
  <c r="AJ31" i="2"/>
  <c r="AJ30" i="2"/>
  <c r="AJ21" i="2"/>
  <c r="AJ52" i="2"/>
  <c r="AJ84" i="2"/>
  <c r="AJ45" i="3"/>
  <c r="AJ45" i="2" s="1"/>
  <c r="AJ46" i="2"/>
  <c r="AJ165" i="2"/>
  <c r="AJ32" i="2"/>
  <c r="AJ76" i="2"/>
  <c r="AJ136" i="2"/>
  <c r="AJ106" i="2"/>
  <c r="AJ90" i="2"/>
  <c r="AJ74" i="2"/>
  <c r="AJ58" i="2"/>
  <c r="AJ54" i="2"/>
  <c r="AJ156" i="2"/>
  <c r="AJ67" i="2"/>
  <c r="AJ8" i="2"/>
  <c r="AJ117" i="2"/>
  <c r="AJ130" i="2"/>
  <c r="AJ56" i="2"/>
  <c r="AJ15" i="2"/>
  <c r="AJ100" i="2"/>
  <c r="AJ77" i="2"/>
  <c r="AJ43" i="2"/>
  <c r="AJ34" i="2"/>
  <c r="AJ155" i="2"/>
  <c r="AJ47" i="2"/>
  <c r="AJ42" i="2"/>
  <c r="AJ124" i="2"/>
  <c r="AJ160" i="2"/>
  <c r="AJ55" i="2"/>
  <c r="AJ126" i="3"/>
  <c r="AJ126" i="2" s="1"/>
  <c r="AJ127" i="2"/>
  <c r="AJ14" i="2"/>
  <c r="AJ73" i="2"/>
  <c r="AJ150" i="2"/>
  <c r="AJ119" i="2"/>
  <c r="AJ51" i="2"/>
  <c r="AJ92" i="2"/>
  <c r="AJ103" i="2"/>
  <c r="AJ40" i="2"/>
  <c r="AJ142" i="2"/>
  <c r="AJ95" i="2"/>
  <c r="AJ26" i="2"/>
  <c r="AJ108" i="2"/>
  <c r="AJ78" i="2"/>
  <c r="AJ146" i="2"/>
  <c r="AJ99" i="2"/>
  <c r="AJ65" i="2"/>
  <c r="AJ88" i="2"/>
  <c r="AJ23" i="2"/>
  <c r="AR166" i="2"/>
  <c r="AR161" i="2"/>
  <c r="AR156" i="2"/>
  <c r="AR168" i="2"/>
  <c r="AR154" i="2"/>
  <c r="AR148" i="3"/>
  <c r="AR148" i="2" s="1"/>
  <c r="AR149" i="2"/>
  <c r="AR123" i="2"/>
  <c r="AR119" i="2"/>
  <c r="AR115" i="2"/>
  <c r="AR111" i="2"/>
  <c r="AR107" i="2"/>
  <c r="AR163" i="2"/>
  <c r="AR151" i="2"/>
  <c r="AR121" i="2"/>
  <c r="AR116" i="2"/>
  <c r="AR160" i="2"/>
  <c r="AR158" i="2"/>
  <c r="AR131" i="2"/>
  <c r="AR106" i="2"/>
  <c r="AR104" i="3"/>
  <c r="AR104" i="2" s="1"/>
  <c r="AR105" i="2"/>
  <c r="AR137" i="2"/>
  <c r="AR135" i="2"/>
  <c r="AR113" i="2"/>
  <c r="AR94" i="2"/>
  <c r="AR86" i="2"/>
  <c r="AR132" i="2"/>
  <c r="AR125" i="2"/>
  <c r="AR108" i="2"/>
  <c r="AR93" i="2"/>
  <c r="AR167" i="2"/>
  <c r="AR164" i="2"/>
  <c r="AR141" i="2"/>
  <c r="AR109" i="2"/>
  <c r="AR90" i="2"/>
  <c r="AR77" i="2"/>
  <c r="AR23" i="2"/>
  <c r="AR117" i="2"/>
  <c r="AR87" i="2"/>
  <c r="AR75" i="2"/>
  <c r="AR16" i="2"/>
  <c r="AR162" i="2"/>
  <c r="AR118" i="2"/>
  <c r="AR43" i="2"/>
  <c r="AR39" i="2"/>
  <c r="AR35" i="2"/>
  <c r="AR31" i="2"/>
  <c r="AR27" i="2"/>
  <c r="AR9" i="2"/>
  <c r="AR74" i="2"/>
  <c r="AR152" i="2"/>
  <c r="AR146" i="2"/>
  <c r="AR139" i="2"/>
  <c r="AR96" i="2"/>
  <c r="AR84" i="2"/>
  <c r="AR79" i="2"/>
  <c r="AR40" i="2"/>
  <c r="AR30" i="2"/>
  <c r="AR24" i="3"/>
  <c r="AR24" i="2" s="1"/>
  <c r="AR25" i="2"/>
  <c r="AR18" i="2"/>
  <c r="AR155" i="2"/>
  <c r="AR124" i="2"/>
  <c r="AR66" i="2"/>
  <c r="AR60" i="3"/>
  <c r="AR60" i="2" s="1"/>
  <c r="AR61" i="2"/>
  <c r="AR153" i="2"/>
  <c r="AR97" i="2"/>
  <c r="AR89" i="2"/>
  <c r="AR71" i="2"/>
  <c r="AR114" i="2"/>
  <c r="AR53" i="2"/>
  <c r="AR29" i="2"/>
  <c r="AR5" i="2"/>
  <c r="AR145" i="2"/>
  <c r="AR98" i="2"/>
  <c r="AR68" i="2"/>
  <c r="AR21" i="2"/>
  <c r="AR140" i="2"/>
  <c r="AR129" i="2"/>
  <c r="AR102" i="2"/>
  <c r="AR8" i="2"/>
  <c r="AR92" i="2"/>
  <c r="AR72" i="2"/>
  <c r="AR45" i="3"/>
  <c r="AR45" i="2" s="1"/>
  <c r="AR46" i="2"/>
  <c r="AR150" i="2"/>
  <c r="AR99" i="2"/>
  <c r="AR73" i="2"/>
  <c r="AR127" i="2"/>
  <c r="AR126" i="3"/>
  <c r="AR126" i="2" s="1"/>
  <c r="AR37" i="2"/>
  <c r="AR165" i="2"/>
  <c r="AR133" i="2"/>
  <c r="AR69" i="2"/>
  <c r="AR64" i="2"/>
  <c r="AR13" i="2"/>
  <c r="AR138" i="2"/>
  <c r="AR103" i="2"/>
  <c r="AR38" i="2"/>
  <c r="AR169" i="2"/>
  <c r="AR157" i="2"/>
  <c r="AR144" i="2"/>
  <c r="AR95" i="2"/>
  <c r="AR47" i="2"/>
  <c r="AR36" i="2"/>
  <c r="AR32" i="2"/>
  <c r="AR17" i="2"/>
  <c r="AR112" i="2"/>
  <c r="AR85" i="2"/>
  <c r="AR76" i="2"/>
  <c r="AR100" i="2"/>
  <c r="AR34" i="2"/>
  <c r="AR28" i="2"/>
  <c r="AR6" i="2"/>
  <c r="AR26" i="2"/>
  <c r="AR15" i="2"/>
  <c r="AR10" i="2"/>
  <c r="AR19" i="2"/>
  <c r="AR143" i="2"/>
  <c r="AR78" i="2"/>
  <c r="AR54" i="2"/>
  <c r="AR67" i="2"/>
  <c r="AR48" i="2"/>
  <c r="AR136" i="2"/>
  <c r="AR14" i="2"/>
  <c r="AR51" i="2"/>
  <c r="AR120" i="2"/>
  <c r="AR41" i="2"/>
  <c r="AR3" i="3"/>
  <c r="AR3" i="2" s="1"/>
  <c r="AR4" i="2"/>
  <c r="AR42" i="2"/>
  <c r="AR52" i="2"/>
  <c r="AR22" i="2"/>
  <c r="AR65" i="2"/>
  <c r="AR33" i="2"/>
  <c r="AR57" i="2"/>
  <c r="AR91" i="2"/>
  <c r="AR11" i="2"/>
  <c r="AR130" i="2"/>
  <c r="AR63" i="2"/>
  <c r="AR12" i="2"/>
  <c r="AR122" i="2"/>
  <c r="AR70" i="2"/>
  <c r="AR55" i="2"/>
  <c r="AR128" i="2"/>
  <c r="AR82" i="3"/>
  <c r="AR82" i="2" s="1"/>
  <c r="AR83" i="2"/>
  <c r="AR80" i="2"/>
  <c r="AR7" i="2"/>
  <c r="AR56" i="2"/>
  <c r="AR134" i="2"/>
  <c r="AR147" i="2"/>
  <c r="AR142" i="2"/>
  <c r="AR58" i="2"/>
  <c r="AR159" i="2"/>
  <c r="AR50" i="2"/>
  <c r="AR110" i="2"/>
  <c r="AR81" i="2"/>
  <c r="AR44" i="2"/>
  <c r="AR88" i="2"/>
  <c r="AR101" i="2"/>
  <c r="AR49" i="2"/>
  <c r="AR62" i="2"/>
  <c r="AR20" i="2"/>
  <c r="AH168" i="2"/>
  <c r="AH163" i="2"/>
  <c r="AH169" i="2"/>
  <c r="AH125" i="2"/>
  <c r="AH121" i="2"/>
  <c r="AH117" i="2"/>
  <c r="AH113" i="2"/>
  <c r="AH109" i="2"/>
  <c r="AH164" i="2"/>
  <c r="AH152" i="2"/>
  <c r="AH143" i="2"/>
  <c r="AH124" i="2"/>
  <c r="AH119" i="2"/>
  <c r="AH162" i="2"/>
  <c r="AH138" i="2"/>
  <c r="AH144" i="2"/>
  <c r="AH129" i="2"/>
  <c r="AH155" i="2"/>
  <c r="AH153" i="2"/>
  <c r="AH114" i="2"/>
  <c r="AH99" i="2"/>
  <c r="AH160" i="2"/>
  <c r="AH145" i="2"/>
  <c r="AH131" i="2"/>
  <c r="AH98" i="2"/>
  <c r="AH88" i="2"/>
  <c r="AH84" i="2"/>
  <c r="AH133" i="2"/>
  <c r="AH146" i="2"/>
  <c r="AH104" i="3"/>
  <c r="AH104" i="2" s="1"/>
  <c r="AH105" i="2"/>
  <c r="AH13" i="2"/>
  <c r="AH157" i="2"/>
  <c r="AH120" i="2"/>
  <c r="AH92" i="2"/>
  <c r="AH80" i="2"/>
  <c r="AH6" i="2"/>
  <c r="AH166" i="2"/>
  <c r="AH122" i="2"/>
  <c r="AH111" i="2"/>
  <c r="AH101" i="2"/>
  <c r="AH89" i="2"/>
  <c r="AH41" i="2"/>
  <c r="AH37" i="2"/>
  <c r="AH33" i="2"/>
  <c r="AH29" i="2"/>
  <c r="AH24" i="3"/>
  <c r="AH24" i="2" s="1"/>
  <c r="AH25" i="2"/>
  <c r="AH19" i="2"/>
  <c r="AH156" i="2"/>
  <c r="AH142" i="2"/>
  <c r="AH110" i="2"/>
  <c r="AH97" i="2"/>
  <c r="AH91" i="2"/>
  <c r="AH76" i="2"/>
  <c r="AH72" i="2"/>
  <c r="AH63" i="2"/>
  <c r="AH28" i="2"/>
  <c r="AH10" i="2"/>
  <c r="AH158" i="2"/>
  <c r="AH85" i="2"/>
  <c r="AH69" i="2"/>
  <c r="AH47" i="2"/>
  <c r="AH43" i="2"/>
  <c r="AH161" i="2"/>
  <c r="AH123" i="2"/>
  <c r="AH53" i="2"/>
  <c r="AH48" i="2"/>
  <c r="AH17" i="2"/>
  <c r="AH139" i="2"/>
  <c r="AH126" i="3"/>
  <c r="AH126" i="2" s="1"/>
  <c r="AH127" i="2"/>
  <c r="AH81" i="2"/>
  <c r="AH67" i="2"/>
  <c r="AH56" i="2"/>
  <c r="AH49" i="2"/>
  <c r="AH32" i="2"/>
  <c r="AH16" i="2"/>
  <c r="AH132" i="2"/>
  <c r="AH79" i="2"/>
  <c r="AH54" i="2"/>
  <c r="AH30" i="2"/>
  <c r="AH148" i="3"/>
  <c r="AH148" i="2" s="1"/>
  <c r="AH149" i="2"/>
  <c r="AH134" i="2"/>
  <c r="AH118" i="2"/>
  <c r="AH39" i="2"/>
  <c r="AH22" i="2"/>
  <c r="AH130" i="2"/>
  <c r="AH106" i="2"/>
  <c r="AH95" i="2"/>
  <c r="AH87" i="2"/>
  <c r="AH51" i="2"/>
  <c r="AH38" i="2"/>
  <c r="AH151" i="2"/>
  <c r="AH140" i="2"/>
  <c r="AH135" i="2"/>
  <c r="AH62" i="2"/>
  <c r="AH27" i="2"/>
  <c r="AH137" i="2"/>
  <c r="AH12" i="2"/>
  <c r="AH11" i="2"/>
  <c r="AH154" i="2"/>
  <c r="AH147" i="2"/>
  <c r="AH90" i="2"/>
  <c r="AH112" i="2"/>
  <c r="AH108" i="2"/>
  <c r="AH86" i="2"/>
  <c r="AH36" i="2"/>
  <c r="AH107" i="2"/>
  <c r="AH68" i="2"/>
  <c r="AH35" i="2"/>
  <c r="AH7" i="2"/>
  <c r="AH93" i="2"/>
  <c r="AH52" i="2"/>
  <c r="AH65" i="2"/>
  <c r="AH45" i="3"/>
  <c r="AH45" i="2" s="1"/>
  <c r="AH46" i="2"/>
  <c r="AH40" i="2"/>
  <c r="AH20" i="2"/>
  <c r="AH74" i="2"/>
  <c r="AH58" i="2"/>
  <c r="AH116" i="2"/>
  <c r="AH96" i="2"/>
  <c r="AH50" i="2"/>
  <c r="AH165" i="2"/>
  <c r="AH115" i="2"/>
  <c r="AH5" i="2"/>
  <c r="AH94" i="2"/>
  <c r="AH78" i="2"/>
  <c r="AH70" i="2"/>
  <c r="AH26" i="2"/>
  <c r="AH44" i="2"/>
  <c r="AH55" i="2"/>
  <c r="AH8" i="2"/>
  <c r="AH21" i="2"/>
  <c r="AH14" i="2"/>
  <c r="AH128" i="2"/>
  <c r="AH18" i="2"/>
  <c r="AH136" i="2"/>
  <c r="AH75" i="2"/>
  <c r="AH34" i="2"/>
  <c r="AH15" i="2"/>
  <c r="AH102" i="2"/>
  <c r="AH100" i="2"/>
  <c r="AH77" i="2"/>
  <c r="AH9" i="2"/>
  <c r="AH4" i="2"/>
  <c r="AH3" i="3"/>
  <c r="AH3" i="2" s="1"/>
  <c r="AH60" i="3"/>
  <c r="AH60" i="2" s="1"/>
  <c r="AH61" i="2"/>
  <c r="AH82" i="3"/>
  <c r="AH82" i="2" s="1"/>
  <c r="AH83" i="2"/>
  <c r="AH57" i="2"/>
  <c r="AH31" i="2"/>
  <c r="AH71" i="2"/>
  <c r="AH42" i="2"/>
  <c r="AH23" i="2"/>
  <c r="AH150" i="2"/>
  <c r="AH141" i="2"/>
  <c r="AH73" i="2"/>
  <c r="AH64" i="2"/>
  <c r="AH167" i="2"/>
  <c r="AH103" i="2"/>
  <c r="AH66" i="2"/>
  <c r="AH159" i="2"/>
  <c r="U169" i="2"/>
  <c r="U165" i="2"/>
  <c r="U161" i="2"/>
  <c r="U157" i="2"/>
  <c r="U154" i="2"/>
  <c r="U150" i="2"/>
  <c r="U166" i="2"/>
  <c r="U156" i="2"/>
  <c r="U158" i="2"/>
  <c r="U144" i="2"/>
  <c r="U140" i="2"/>
  <c r="U136" i="2"/>
  <c r="U132" i="2"/>
  <c r="U128" i="2"/>
  <c r="U148" i="3"/>
  <c r="U148" i="2" s="1"/>
  <c r="U149" i="2"/>
  <c r="U168" i="2"/>
  <c r="U121" i="2"/>
  <c r="U116" i="2"/>
  <c r="U153" i="2"/>
  <c r="U131" i="2"/>
  <c r="U107" i="2"/>
  <c r="U130" i="2"/>
  <c r="U127" i="2"/>
  <c r="U126" i="3"/>
  <c r="U126" i="2" s="1"/>
  <c r="U115" i="2"/>
  <c r="U95" i="2"/>
  <c r="U122" i="2"/>
  <c r="U120" i="2"/>
  <c r="U139" i="2"/>
  <c r="U94" i="2"/>
  <c r="U78" i="2"/>
  <c r="U74" i="2"/>
  <c r="U160" i="2"/>
  <c r="U129" i="2"/>
  <c r="U44" i="2"/>
  <c r="U40" i="2"/>
  <c r="U36" i="2"/>
  <c r="U32" i="2"/>
  <c r="U28" i="2"/>
  <c r="U3" i="3"/>
  <c r="U3" i="2" s="1"/>
  <c r="U4" i="2"/>
  <c r="U138" i="2"/>
  <c r="U87" i="2"/>
  <c r="U77" i="2"/>
  <c r="U76" i="2"/>
  <c r="U69" i="2"/>
  <c r="U65" i="2"/>
  <c r="U60" i="3"/>
  <c r="U60" i="2" s="1"/>
  <c r="U61" i="2"/>
  <c r="U17" i="2"/>
  <c r="U163" i="2"/>
  <c r="U147" i="2"/>
  <c r="U114" i="2"/>
  <c r="U56" i="2"/>
  <c r="U52" i="2"/>
  <c r="U48" i="2"/>
  <c r="U10" i="2"/>
  <c r="U134" i="2"/>
  <c r="U89" i="2"/>
  <c r="U125" i="2"/>
  <c r="U86" i="2"/>
  <c r="U30" i="2"/>
  <c r="U24" i="3"/>
  <c r="U24" i="2" s="1"/>
  <c r="U25" i="2"/>
  <c r="U18" i="2"/>
  <c r="U159" i="2"/>
  <c r="U141" i="2"/>
  <c r="U109" i="2"/>
  <c r="U99" i="2"/>
  <c r="U71" i="2"/>
  <c r="U66" i="2"/>
  <c r="U167" i="2"/>
  <c r="U162" i="2"/>
  <c r="U55" i="2"/>
  <c r="U26" i="2"/>
  <c r="U5" i="2"/>
  <c r="U83" i="2"/>
  <c r="U82" i="3"/>
  <c r="U82" i="2" s="1"/>
  <c r="U63" i="2"/>
  <c r="U38" i="2"/>
  <c r="U84" i="2"/>
  <c r="U50" i="2"/>
  <c r="U23" i="2"/>
  <c r="U100" i="2"/>
  <c r="U85" i="2"/>
  <c r="U58" i="2"/>
  <c r="U133" i="2"/>
  <c r="U34" i="2"/>
  <c r="U7" i="2"/>
  <c r="U164" i="2"/>
  <c r="U143" i="2"/>
  <c r="U124" i="2"/>
  <c r="U81" i="2"/>
  <c r="U41" i="2"/>
  <c r="U31" i="2"/>
  <c r="U142" i="2"/>
  <c r="U88" i="2"/>
  <c r="U135" i="2"/>
  <c r="U102" i="2"/>
  <c r="U51" i="2"/>
  <c r="U110" i="2"/>
  <c r="U105" i="2"/>
  <c r="U104" i="3"/>
  <c r="U104" i="2" s="1"/>
  <c r="U96" i="2"/>
  <c r="U49" i="2"/>
  <c r="U33" i="2"/>
  <c r="U19" i="2"/>
  <c r="U98" i="2"/>
  <c r="U92" i="2"/>
  <c r="U67" i="2"/>
  <c r="U118" i="2"/>
  <c r="U113" i="2"/>
  <c r="U62" i="2"/>
  <c r="U155" i="2"/>
  <c r="U70" i="2"/>
  <c r="U42" i="2"/>
  <c r="U27" i="2"/>
  <c r="U20" i="2"/>
  <c r="U11" i="2"/>
  <c r="U117" i="2"/>
  <c r="U72" i="2"/>
  <c r="U29" i="2"/>
  <c r="U13" i="2"/>
  <c r="U80" i="2"/>
  <c r="U68" i="2"/>
  <c r="U9" i="2"/>
  <c r="U137" i="2"/>
  <c r="U152" i="2"/>
  <c r="U57" i="2"/>
  <c r="U21" i="2"/>
  <c r="U6" i="2"/>
  <c r="U79" i="2"/>
  <c r="U145" i="2"/>
  <c r="U106" i="2"/>
  <c r="U53" i="2"/>
  <c r="U16" i="2"/>
  <c r="U93" i="2"/>
  <c r="U91" i="2"/>
  <c r="U46" i="2"/>
  <c r="U45" i="3"/>
  <c r="U45" i="2" s="1"/>
  <c r="U90" i="2"/>
  <c r="U12" i="2"/>
  <c r="U39" i="2"/>
  <c r="U54" i="2"/>
  <c r="U35" i="2"/>
  <c r="U119" i="2"/>
  <c r="U108" i="2"/>
  <c r="U103" i="2"/>
  <c r="U101" i="2"/>
  <c r="U97" i="2"/>
  <c r="U123" i="2"/>
  <c r="U43" i="2"/>
  <c r="U37" i="2"/>
  <c r="U112" i="2"/>
  <c r="U64" i="2"/>
  <c r="U75" i="2"/>
  <c r="U14" i="2"/>
  <c r="U22" i="2"/>
  <c r="U73" i="2"/>
  <c r="U151" i="2"/>
  <c r="U8" i="2"/>
  <c r="U111" i="2"/>
  <c r="U146" i="2"/>
  <c r="U15" i="2"/>
  <c r="U47" i="2"/>
  <c r="H168" i="2"/>
  <c r="H164" i="2"/>
  <c r="H160" i="2"/>
  <c r="H156" i="2"/>
  <c r="H163" i="2"/>
  <c r="H158" i="2"/>
  <c r="H159" i="2"/>
  <c r="H122" i="2"/>
  <c r="H118" i="2"/>
  <c r="H114" i="2"/>
  <c r="H110" i="2"/>
  <c r="H106" i="2"/>
  <c r="H138" i="2"/>
  <c r="H133" i="2"/>
  <c r="H128" i="2"/>
  <c r="H161" i="2"/>
  <c r="H162" i="2"/>
  <c r="H151" i="2"/>
  <c r="H101" i="2"/>
  <c r="H91" i="2"/>
  <c r="H81" i="2"/>
  <c r="H145" i="2"/>
  <c r="H131" i="2"/>
  <c r="H121" i="2"/>
  <c r="H150" i="2"/>
  <c r="H100" i="2"/>
  <c r="H90" i="2"/>
  <c r="H85" i="2"/>
  <c r="H142" i="2"/>
  <c r="H135" i="2"/>
  <c r="H98" i="2"/>
  <c r="H73" i="2"/>
  <c r="H55" i="2"/>
  <c r="H51" i="2"/>
  <c r="H47" i="2"/>
  <c r="H15" i="2"/>
  <c r="H109" i="2"/>
  <c r="H89" i="2"/>
  <c r="H80" i="2"/>
  <c r="H72" i="2"/>
  <c r="H8" i="2"/>
  <c r="H155" i="2"/>
  <c r="H132" i="2"/>
  <c r="H21" i="2"/>
  <c r="H124" i="2"/>
  <c r="H104" i="3"/>
  <c r="H104" i="2" s="1"/>
  <c r="H105" i="2"/>
  <c r="H63" i="2"/>
  <c r="H27" i="2"/>
  <c r="H113" i="2"/>
  <c r="H76" i="2"/>
  <c r="H57" i="2"/>
  <c r="H52" i="2"/>
  <c r="H23" i="2"/>
  <c r="H13" i="2"/>
  <c r="H167" i="2"/>
  <c r="H146" i="2"/>
  <c r="H139" i="2"/>
  <c r="H93" i="2"/>
  <c r="H68" i="2"/>
  <c r="H140" i="2"/>
  <c r="H119" i="2"/>
  <c r="H111" i="2"/>
  <c r="H95" i="2"/>
  <c r="H92" i="2"/>
  <c r="H69" i="2"/>
  <c r="H56" i="2"/>
  <c r="H49" i="2"/>
  <c r="H32" i="2"/>
  <c r="H24" i="3"/>
  <c r="H24" i="2" s="1"/>
  <c r="H25" i="2"/>
  <c r="H16" i="2"/>
  <c r="H88" i="2"/>
  <c r="H4" i="2"/>
  <c r="H3" i="3"/>
  <c r="H3" i="2" s="1"/>
  <c r="H112" i="2"/>
  <c r="H97" i="2"/>
  <c r="H78" i="2"/>
  <c r="H39" i="2"/>
  <c r="H22" i="2"/>
  <c r="H125" i="2"/>
  <c r="H107" i="2"/>
  <c r="H36" i="2"/>
  <c r="H19" i="2"/>
  <c r="H18" i="2"/>
  <c r="H84" i="2"/>
  <c r="H60" i="3"/>
  <c r="H60" i="2" s="1"/>
  <c r="H61" i="2"/>
  <c r="H9" i="2"/>
  <c r="H166" i="2"/>
  <c r="H136" i="2"/>
  <c r="H152" i="2"/>
  <c r="H148" i="3"/>
  <c r="H148" i="2" s="1"/>
  <c r="H149" i="2"/>
  <c r="H77" i="2"/>
  <c r="H45" i="3"/>
  <c r="H45" i="2" s="1"/>
  <c r="H46" i="2"/>
  <c r="H143" i="2"/>
  <c r="H43" i="2"/>
  <c r="H17" i="2"/>
  <c r="H147" i="2"/>
  <c r="H130" i="2"/>
  <c r="H48" i="2"/>
  <c r="H87" i="2"/>
  <c r="H58" i="2"/>
  <c r="H38" i="2"/>
  <c r="H37" i="2"/>
  <c r="H129" i="2"/>
  <c r="H123" i="2"/>
  <c r="H70" i="2"/>
  <c r="H65" i="2"/>
  <c r="H154" i="2"/>
  <c r="H53" i="2"/>
  <c r="H41" i="2"/>
  <c r="H64" i="2"/>
  <c r="H75" i="2"/>
  <c r="H99" i="2"/>
  <c r="H14" i="2"/>
  <c r="H66" i="2"/>
  <c r="H6" i="2"/>
  <c r="H33" i="2"/>
  <c r="H12" i="2"/>
  <c r="H116" i="2"/>
  <c r="H28" i="2"/>
  <c r="H82" i="3"/>
  <c r="H82" i="2" s="1"/>
  <c r="H83" i="2"/>
  <c r="H31" i="2"/>
  <c r="H153" i="2"/>
  <c r="H117" i="2"/>
  <c r="H165" i="2"/>
  <c r="H86" i="2"/>
  <c r="H20" i="2"/>
  <c r="H169" i="2"/>
  <c r="H10" i="2"/>
  <c r="H144" i="2"/>
  <c r="H26" i="2"/>
  <c r="H108" i="2"/>
  <c r="H96" i="2"/>
  <c r="H103" i="2"/>
  <c r="H94" i="2"/>
  <c r="H71" i="2"/>
  <c r="H40" i="2"/>
  <c r="H50" i="2"/>
  <c r="H79" i="2"/>
  <c r="H157" i="2"/>
  <c r="H54" i="2"/>
  <c r="H30" i="2"/>
  <c r="H7" i="2"/>
  <c r="H102" i="2"/>
  <c r="H126" i="3"/>
  <c r="H126" i="2" s="1"/>
  <c r="H127" i="2"/>
  <c r="H44" i="2"/>
  <c r="H11" i="2"/>
  <c r="H29" i="2"/>
  <c r="H42" i="2"/>
  <c r="H35" i="2"/>
  <c r="H137" i="2"/>
  <c r="H115" i="2"/>
  <c r="H67" i="2"/>
  <c r="H34" i="2"/>
  <c r="H141" i="2"/>
  <c r="H134" i="2"/>
  <c r="H74" i="2"/>
  <c r="H62" i="2"/>
  <c r="H120" i="2"/>
  <c r="H5" i="2"/>
  <c r="BD166" i="2"/>
  <c r="BD162" i="2"/>
  <c r="BD158" i="2"/>
  <c r="BD168" i="2"/>
  <c r="BD163" i="2"/>
  <c r="BD151" i="2"/>
  <c r="BD169" i="2"/>
  <c r="BD160" i="2"/>
  <c r="BD157" i="2"/>
  <c r="BD155" i="2"/>
  <c r="BD145" i="2"/>
  <c r="BD141" i="2"/>
  <c r="BD137" i="2"/>
  <c r="BD133" i="2"/>
  <c r="BD129" i="2"/>
  <c r="BD167" i="2"/>
  <c r="BD118" i="2"/>
  <c r="BD113" i="2"/>
  <c r="BD143" i="2"/>
  <c r="BD124" i="2"/>
  <c r="BD119" i="2"/>
  <c r="BD102" i="2"/>
  <c r="BD138" i="2"/>
  <c r="BD146" i="2"/>
  <c r="BD117" i="2"/>
  <c r="BD88" i="2"/>
  <c r="BD136" i="2"/>
  <c r="BD107" i="2"/>
  <c r="BD98" i="2"/>
  <c r="BD165" i="2"/>
  <c r="BD97" i="2"/>
  <c r="BD79" i="2"/>
  <c r="BD75" i="2"/>
  <c r="BD71" i="2"/>
  <c r="BD128" i="2"/>
  <c r="BD103" i="2"/>
  <c r="BD95" i="2"/>
  <c r="BD84" i="2"/>
  <c r="BD41" i="2"/>
  <c r="BD37" i="2"/>
  <c r="BD33" i="2"/>
  <c r="BD29" i="2"/>
  <c r="BD25" i="2"/>
  <c r="BD24" i="3"/>
  <c r="BD24" i="2" s="1"/>
  <c r="BD19" i="2"/>
  <c r="BD70" i="2"/>
  <c r="BD66" i="2"/>
  <c r="BD62" i="2"/>
  <c r="BD12" i="2"/>
  <c r="BD147" i="2"/>
  <c r="BD106" i="2"/>
  <c r="BD80" i="2"/>
  <c r="BD57" i="2"/>
  <c r="BD53" i="2"/>
  <c r="BD49" i="2"/>
  <c r="BD5" i="2"/>
  <c r="BD150" i="2"/>
  <c r="BD82" i="3"/>
  <c r="BD82" i="2" s="1"/>
  <c r="BD83" i="2"/>
  <c r="BD68" i="2"/>
  <c r="BD42" i="2"/>
  <c r="BD140" i="2"/>
  <c r="BD125" i="2"/>
  <c r="BD120" i="2"/>
  <c r="BD63" i="2"/>
  <c r="BD28" i="2"/>
  <c r="BD10" i="2"/>
  <c r="BD109" i="2"/>
  <c r="BD78" i="2"/>
  <c r="BD72" i="2"/>
  <c r="BD69" i="2"/>
  <c r="BD47" i="2"/>
  <c r="BD43" i="2"/>
  <c r="BD13" i="2"/>
  <c r="BD142" i="2"/>
  <c r="BD135" i="2"/>
  <c r="BD8" i="2"/>
  <c r="BD130" i="2"/>
  <c r="BD73" i="2"/>
  <c r="BD35" i="2"/>
  <c r="BD6" i="2"/>
  <c r="BD4" i="2"/>
  <c r="BD3" i="3"/>
  <c r="BD3" i="2" s="1"/>
  <c r="BD161" i="2"/>
  <c r="BD134" i="2"/>
  <c r="BD104" i="3"/>
  <c r="BD104" i="2" s="1"/>
  <c r="BD105" i="2"/>
  <c r="BD99" i="2"/>
  <c r="BD93" i="2"/>
  <c r="BD85" i="2"/>
  <c r="BD159" i="2"/>
  <c r="BD122" i="2"/>
  <c r="BD112" i="2"/>
  <c r="BD89" i="2"/>
  <c r="BD153" i="2"/>
  <c r="BD139" i="2"/>
  <c r="BD131" i="2"/>
  <c r="BD54" i="2"/>
  <c r="BD31" i="2"/>
  <c r="BD87" i="2"/>
  <c r="BD58" i="2"/>
  <c r="BD18" i="2"/>
  <c r="BD115" i="2"/>
  <c r="BD96" i="2"/>
  <c r="BD40" i="2"/>
  <c r="BD152" i="2"/>
  <c r="BD14" i="2"/>
  <c r="BD26" i="2"/>
  <c r="BD132" i="2"/>
  <c r="BD27" i="2"/>
  <c r="BD94" i="2"/>
  <c r="BD111" i="2"/>
  <c r="BD92" i="2"/>
  <c r="BD64" i="2"/>
  <c r="BD108" i="2"/>
  <c r="BD114" i="2"/>
  <c r="BD81" i="2"/>
  <c r="BD21" i="2"/>
  <c r="BD16" i="2"/>
  <c r="BD148" i="3"/>
  <c r="BD148" i="2" s="1"/>
  <c r="BD149" i="2"/>
  <c r="BD100" i="2"/>
  <c r="BD55" i="2"/>
  <c r="BD110" i="2"/>
  <c r="BD123" i="2"/>
  <c r="BD67" i="2"/>
  <c r="BD60" i="3"/>
  <c r="BD60" i="2" s="1"/>
  <c r="BD61" i="2"/>
  <c r="BD34" i="2"/>
  <c r="BD15" i="2"/>
  <c r="BD22" i="2"/>
  <c r="BD51" i="2"/>
  <c r="BD74" i="2"/>
  <c r="BD32" i="2"/>
  <c r="BD11" i="2"/>
  <c r="BD144" i="2"/>
  <c r="BD52" i="2"/>
  <c r="BD23" i="2"/>
  <c r="BD65" i="2"/>
  <c r="BD7" i="2"/>
  <c r="BD9" i="2"/>
  <c r="BD86" i="2"/>
  <c r="BD126" i="3"/>
  <c r="BD126" i="2" s="1"/>
  <c r="BD127" i="2"/>
  <c r="BD45" i="3"/>
  <c r="BD45" i="2" s="1"/>
  <c r="BD46" i="2"/>
  <c r="BD20" i="2"/>
  <c r="BD44" i="2"/>
  <c r="BD56" i="2"/>
  <c r="BD36" i="2"/>
  <c r="BD17" i="2"/>
  <c r="BD116" i="2"/>
  <c r="BD76" i="2"/>
  <c r="BD164" i="2"/>
  <c r="BD101" i="2"/>
  <c r="BD121" i="2"/>
  <c r="BD39" i="2"/>
  <c r="BD156" i="2"/>
  <c r="BD77" i="2"/>
  <c r="BD30" i="2"/>
  <c r="BD48" i="2"/>
  <c r="BD91" i="2"/>
  <c r="BD50" i="2"/>
  <c r="BD38" i="2"/>
  <c r="BD90" i="2"/>
  <c r="BD154" i="2"/>
  <c r="Z168" i="2"/>
  <c r="Z164" i="2"/>
  <c r="Z160" i="2"/>
  <c r="Z156" i="2"/>
  <c r="Z167" i="2"/>
  <c r="Z162" i="2"/>
  <c r="Z157" i="2"/>
  <c r="Z153" i="2"/>
  <c r="Z165" i="2"/>
  <c r="Z150" i="2"/>
  <c r="Z147" i="2"/>
  <c r="Z143" i="2"/>
  <c r="Z139" i="2"/>
  <c r="Z135" i="2"/>
  <c r="Z131" i="2"/>
  <c r="Z127" i="2"/>
  <c r="Z126" i="3"/>
  <c r="Z126" i="2" s="1"/>
  <c r="Z155" i="2"/>
  <c r="Z122" i="2"/>
  <c r="Z117" i="2"/>
  <c r="Z112" i="2"/>
  <c r="Z107" i="2"/>
  <c r="Z142" i="2"/>
  <c r="Z137" i="2"/>
  <c r="Z132" i="2"/>
  <c r="Z134" i="2"/>
  <c r="Z110" i="2"/>
  <c r="Z146" i="2"/>
  <c r="Z124" i="2"/>
  <c r="Z102" i="2"/>
  <c r="Z92" i="2"/>
  <c r="Z129" i="2"/>
  <c r="Z103" i="2"/>
  <c r="Z81" i="2"/>
  <c r="Z77" i="2"/>
  <c r="Z73" i="2"/>
  <c r="Z100" i="2"/>
  <c r="Z88" i="2"/>
  <c r="Z82" i="3"/>
  <c r="Z82" i="2" s="1"/>
  <c r="Z83" i="2"/>
  <c r="Z74" i="2"/>
  <c r="Z43" i="2"/>
  <c r="Z39" i="2"/>
  <c r="Z35" i="2"/>
  <c r="Z31" i="2"/>
  <c r="Z27" i="2"/>
  <c r="Z9" i="2"/>
  <c r="Z152" i="2"/>
  <c r="Z113" i="2"/>
  <c r="Z91" i="2"/>
  <c r="Z68" i="2"/>
  <c r="Z64" i="2"/>
  <c r="Z22" i="2"/>
  <c r="Z151" i="2"/>
  <c r="Z125" i="2"/>
  <c r="Z123" i="2"/>
  <c r="Z106" i="2"/>
  <c r="Z79" i="2"/>
  <c r="Z55" i="2"/>
  <c r="Z51" i="2"/>
  <c r="Z47" i="2"/>
  <c r="Z15" i="2"/>
  <c r="Z159" i="2"/>
  <c r="Z141" i="2"/>
  <c r="Z41" i="2"/>
  <c r="Z36" i="2"/>
  <c r="Z26" i="2"/>
  <c r="Z12" i="2"/>
  <c r="Z121" i="2"/>
  <c r="Z98" i="2"/>
  <c r="Z75" i="2"/>
  <c r="Z67" i="2"/>
  <c r="Z62" i="2"/>
  <c r="Z115" i="2"/>
  <c r="Z56" i="2"/>
  <c r="Z45" i="3"/>
  <c r="Z45" i="2" s="1"/>
  <c r="Z46" i="2"/>
  <c r="Z19" i="2"/>
  <c r="Z154" i="2"/>
  <c r="Z136" i="2"/>
  <c r="Z52" i="2"/>
  <c r="Z50" i="2"/>
  <c r="Z28" i="2"/>
  <c r="Z23" i="2"/>
  <c r="Z17" i="2"/>
  <c r="Z144" i="2"/>
  <c r="Z70" i="2"/>
  <c r="Z42" i="2"/>
  <c r="Z105" i="2"/>
  <c r="Z104" i="3"/>
  <c r="Z104" i="2" s="1"/>
  <c r="Z65" i="2"/>
  <c r="Z40" i="2"/>
  <c r="Z8" i="2"/>
  <c r="Z109" i="2"/>
  <c r="Z54" i="2"/>
  <c r="Z101" i="2"/>
  <c r="Z163" i="2"/>
  <c r="Z130" i="2"/>
  <c r="Z76" i="2"/>
  <c r="Z72" i="2"/>
  <c r="Z6" i="2"/>
  <c r="Z128" i="2"/>
  <c r="Z3" i="3"/>
  <c r="Z3" i="2" s="1"/>
  <c r="Z4" i="2"/>
  <c r="Z145" i="2"/>
  <c r="Z108" i="2"/>
  <c r="Z90" i="2"/>
  <c r="Z71" i="2"/>
  <c r="Z16" i="2"/>
  <c r="Z11" i="2"/>
  <c r="Z29" i="2"/>
  <c r="Z5" i="2"/>
  <c r="Z38" i="2"/>
  <c r="Z33" i="2"/>
  <c r="Z119" i="2"/>
  <c r="Z116" i="2"/>
  <c r="Z18" i="2"/>
  <c r="Z63" i="2"/>
  <c r="Z20" i="2"/>
  <c r="Z161" i="2"/>
  <c r="Z138" i="2"/>
  <c r="Z48" i="2"/>
  <c r="Z44" i="2"/>
  <c r="Z32" i="2"/>
  <c r="Z169" i="2"/>
  <c r="Z94" i="2"/>
  <c r="Z87" i="2"/>
  <c r="Z25" i="2"/>
  <c r="Z24" i="3"/>
  <c r="Z24" i="2" s="1"/>
  <c r="Z7" i="2"/>
  <c r="Z97" i="2"/>
  <c r="Z53" i="2"/>
  <c r="Z118" i="2"/>
  <c r="Z10" i="2"/>
  <c r="Z99" i="2"/>
  <c r="Z78" i="2"/>
  <c r="Z37" i="2"/>
  <c r="Z60" i="3"/>
  <c r="Z60" i="2" s="1"/>
  <c r="Z61" i="2"/>
  <c r="Z166" i="2"/>
  <c r="Z133" i="2"/>
  <c r="Z140" i="2"/>
  <c r="Z114" i="2"/>
  <c r="Z80" i="2"/>
  <c r="Z69" i="2"/>
  <c r="Z49" i="2"/>
  <c r="Z34" i="2"/>
  <c r="Z111" i="2"/>
  <c r="Z96" i="2"/>
  <c r="Z57" i="2"/>
  <c r="Z66" i="2"/>
  <c r="Z21" i="2"/>
  <c r="Z14" i="2"/>
  <c r="Z158" i="2"/>
  <c r="Z95" i="2"/>
  <c r="Z89" i="2"/>
  <c r="Z84" i="2"/>
  <c r="Z85" i="2"/>
  <c r="Z30" i="2"/>
  <c r="Z86" i="2"/>
  <c r="Z93" i="2"/>
  <c r="Z120" i="2"/>
  <c r="Z13" i="2"/>
  <c r="Z58" i="2"/>
  <c r="Z148" i="3"/>
  <c r="Z148" i="2" s="1"/>
  <c r="Z149" i="2"/>
  <c r="Q166" i="2"/>
  <c r="Q162" i="2"/>
  <c r="Q158" i="2"/>
  <c r="Q151" i="2"/>
  <c r="Q160" i="2"/>
  <c r="Q155" i="2"/>
  <c r="Q153" i="2"/>
  <c r="Q145" i="2"/>
  <c r="Q141" i="2"/>
  <c r="Q137" i="2"/>
  <c r="Q133" i="2"/>
  <c r="Q129" i="2"/>
  <c r="Q156" i="2"/>
  <c r="Q168" i="2"/>
  <c r="Q154" i="2"/>
  <c r="Q149" i="2"/>
  <c r="Q148" i="3"/>
  <c r="Q148" i="2" s="1"/>
  <c r="Q140" i="2"/>
  <c r="Q125" i="2"/>
  <c r="Q110" i="2"/>
  <c r="Q159" i="2"/>
  <c r="Q135" i="2"/>
  <c r="Q116" i="2"/>
  <c r="Q111" i="2"/>
  <c r="Q169" i="2"/>
  <c r="Q132" i="2"/>
  <c r="Q108" i="2"/>
  <c r="Q130" i="2"/>
  <c r="Q113" i="2"/>
  <c r="Q96" i="2"/>
  <c r="Q79" i="2"/>
  <c r="Q144" i="2"/>
  <c r="Q120" i="2"/>
  <c r="Q118" i="2"/>
  <c r="Q70" i="2"/>
  <c r="Q66" i="2"/>
  <c r="Q62" i="2"/>
  <c r="Q12" i="2"/>
  <c r="Q102" i="2"/>
  <c r="Q57" i="2"/>
  <c r="Q53" i="2"/>
  <c r="Q49" i="2"/>
  <c r="Q5" i="2"/>
  <c r="Q115" i="2"/>
  <c r="Q99" i="2"/>
  <c r="Q87" i="2"/>
  <c r="Q18" i="2"/>
  <c r="Q147" i="2"/>
  <c r="Q114" i="2"/>
  <c r="Q11" i="2"/>
  <c r="Q34" i="2"/>
  <c r="Q29" i="2"/>
  <c r="Q14" i="2"/>
  <c r="Q136" i="2"/>
  <c r="Q84" i="2"/>
  <c r="Q77" i="2"/>
  <c r="Q74" i="2"/>
  <c r="Q40" i="2"/>
  <c r="Q103" i="2"/>
  <c r="Q100" i="2"/>
  <c r="Q71" i="2"/>
  <c r="Q58" i="2"/>
  <c r="Q31" i="2"/>
  <c r="Q21" i="2"/>
  <c r="Q15" i="2"/>
  <c r="Q167" i="2"/>
  <c r="Q146" i="2"/>
  <c r="Q143" i="2"/>
  <c r="Q117" i="2"/>
  <c r="Q48" i="2"/>
  <c r="Q43" i="2"/>
  <c r="Q7" i="2"/>
  <c r="Q152" i="2"/>
  <c r="Q82" i="3"/>
  <c r="Q82" i="2" s="1"/>
  <c r="Q83" i="2"/>
  <c r="Q89" i="2"/>
  <c r="Q69" i="2"/>
  <c r="Q68" i="2"/>
  <c r="Q56" i="2"/>
  <c r="Q165" i="2"/>
  <c r="Q138" i="2"/>
  <c r="Q85" i="2"/>
  <c r="Q32" i="2"/>
  <c r="Q119" i="2"/>
  <c r="Q97" i="2"/>
  <c r="Q94" i="2"/>
  <c r="Q93" i="2"/>
  <c r="Q67" i="2"/>
  <c r="Q42" i="2"/>
  <c r="Q164" i="2"/>
  <c r="Q24" i="3"/>
  <c r="Q24" i="2" s="1"/>
  <c r="Q25" i="2"/>
  <c r="Q22" i="2"/>
  <c r="Q163" i="2"/>
  <c r="Q44" i="2"/>
  <c r="Q26" i="2"/>
  <c r="Q27" i="2"/>
  <c r="Q78" i="2"/>
  <c r="Q75" i="2"/>
  <c r="Q33" i="2"/>
  <c r="Q122" i="2"/>
  <c r="Q92" i="2"/>
  <c r="Q55" i="2"/>
  <c r="Q39" i="2"/>
  <c r="Q121" i="2"/>
  <c r="Q91" i="2"/>
  <c r="Q64" i="2"/>
  <c r="Q35" i="2"/>
  <c r="Q16" i="2"/>
  <c r="Q124" i="2"/>
  <c r="Q73" i="2"/>
  <c r="Q52" i="2"/>
  <c r="Q134" i="2"/>
  <c r="Q123" i="2"/>
  <c r="Q80" i="2"/>
  <c r="Q88" i="2"/>
  <c r="Q41" i="2"/>
  <c r="Q13" i="2"/>
  <c r="Q139" i="2"/>
  <c r="Q131" i="2"/>
  <c r="Q30" i="2"/>
  <c r="Q101" i="2"/>
  <c r="Q19" i="2"/>
  <c r="Q157" i="2"/>
  <c r="Q98" i="2"/>
  <c r="Q54" i="2"/>
  <c r="Q104" i="3"/>
  <c r="Q104" i="2" s="1"/>
  <c r="Q105" i="2"/>
  <c r="Q72" i="2"/>
  <c r="Q50" i="2"/>
  <c r="Q36" i="2"/>
  <c r="Q126" i="3"/>
  <c r="Q126" i="2" s="1"/>
  <c r="Q127" i="2"/>
  <c r="Q45" i="3"/>
  <c r="Q45" i="2" s="1"/>
  <c r="Q46" i="2"/>
  <c r="Q128" i="2"/>
  <c r="Q76" i="2"/>
  <c r="Q10" i="2"/>
  <c r="Q109" i="2"/>
  <c r="Q9" i="2"/>
  <c r="Q17" i="2"/>
  <c r="Q106" i="2"/>
  <c r="Q142" i="2"/>
  <c r="Q86" i="2"/>
  <c r="Q81" i="2"/>
  <c r="Q20" i="2"/>
  <c r="Q90" i="2"/>
  <c r="Q63" i="2"/>
  <c r="Q6" i="2"/>
  <c r="Q3" i="3"/>
  <c r="Q3" i="2" s="1"/>
  <c r="Q4" i="2"/>
  <c r="Q150" i="2"/>
  <c r="Q37" i="2"/>
  <c r="Q28" i="2"/>
  <c r="Q161" i="2"/>
  <c r="Q47" i="2"/>
  <c r="Q60" i="3"/>
  <c r="Q60" i="2" s="1"/>
  <c r="Q61" i="2"/>
  <c r="Q51" i="2"/>
  <c r="Q95" i="2"/>
  <c r="Q23" i="2"/>
  <c r="Q112" i="2"/>
  <c r="Q107" i="2"/>
  <c r="Q65" i="2"/>
  <c r="Q8" i="2"/>
  <c r="Q38" i="2"/>
  <c r="X123" i="2"/>
  <c r="X119" i="2"/>
  <c r="X115" i="2"/>
  <c r="X111" i="2"/>
  <c r="X107" i="2"/>
  <c r="X167" i="2"/>
  <c r="X165" i="2"/>
  <c r="X150" i="2"/>
  <c r="X146" i="2"/>
  <c r="X141" i="2"/>
  <c r="X136" i="2"/>
  <c r="X106" i="2"/>
  <c r="X104" i="3"/>
  <c r="X104" i="2" s="1"/>
  <c r="X105" i="2"/>
  <c r="X155" i="2"/>
  <c r="X122" i="2"/>
  <c r="X117" i="2"/>
  <c r="X112" i="2"/>
  <c r="X148" i="3"/>
  <c r="X148" i="2" s="1"/>
  <c r="X149" i="2"/>
  <c r="X159" i="2"/>
  <c r="X93" i="2"/>
  <c r="X86" i="2"/>
  <c r="X134" i="2"/>
  <c r="X110" i="2"/>
  <c r="X92" i="2"/>
  <c r="X128" i="2"/>
  <c r="X126" i="3"/>
  <c r="X126" i="2" s="1"/>
  <c r="X127" i="2"/>
  <c r="X116" i="2"/>
  <c r="X94" i="2"/>
  <c r="X78" i="2"/>
  <c r="X75" i="2"/>
  <c r="X23" i="2"/>
  <c r="X100" i="2"/>
  <c r="X97" i="2"/>
  <c r="X16" i="2"/>
  <c r="X156" i="2"/>
  <c r="X137" i="2"/>
  <c r="X124" i="2"/>
  <c r="X103" i="2"/>
  <c r="X88" i="2"/>
  <c r="X82" i="3"/>
  <c r="X82" i="2" s="1"/>
  <c r="X83" i="2"/>
  <c r="X74" i="2"/>
  <c r="X43" i="2"/>
  <c r="X39" i="2"/>
  <c r="X35" i="2"/>
  <c r="X31" i="2"/>
  <c r="X27" i="2"/>
  <c r="X9" i="2"/>
  <c r="X164" i="2"/>
  <c r="X102" i="2"/>
  <c r="X55" i="2"/>
  <c r="X50" i="2"/>
  <c r="X15" i="2"/>
  <c r="X169" i="2"/>
  <c r="X154" i="2"/>
  <c r="X140" i="2"/>
  <c r="X120" i="2"/>
  <c r="X81" i="2"/>
  <c r="X22" i="2"/>
  <c r="X151" i="2"/>
  <c r="X143" i="2"/>
  <c r="X135" i="2"/>
  <c r="X41" i="2"/>
  <c r="X36" i="2"/>
  <c r="X26" i="2"/>
  <c r="X12" i="2"/>
  <c r="X76" i="2"/>
  <c r="X57" i="2"/>
  <c r="X33" i="2"/>
  <c r="X11" i="2"/>
  <c r="X131" i="2"/>
  <c r="X113" i="2"/>
  <c r="X20" i="2"/>
  <c r="X14" i="2"/>
  <c r="X73" i="2"/>
  <c r="X52" i="2"/>
  <c r="X28" i="2"/>
  <c r="X17" i="2"/>
  <c r="X6" i="2"/>
  <c r="X145" i="2"/>
  <c r="X121" i="2"/>
  <c r="X162" i="2"/>
  <c r="X109" i="2"/>
  <c r="X54" i="2"/>
  <c r="X118" i="2"/>
  <c r="X114" i="2"/>
  <c r="X66" i="2"/>
  <c r="X62" i="2"/>
  <c r="X51" i="2"/>
  <c r="X40" i="2"/>
  <c r="X18" i="2"/>
  <c r="X3" i="3"/>
  <c r="X3" i="2" s="1"/>
  <c r="X4" i="2"/>
  <c r="X163" i="2"/>
  <c r="X125" i="2"/>
  <c r="X70" i="2"/>
  <c r="X42" i="2"/>
  <c r="X133" i="2"/>
  <c r="X129" i="2"/>
  <c r="X77" i="2"/>
  <c r="X72" i="2"/>
  <c r="X29" i="2"/>
  <c r="X13" i="2"/>
  <c r="X98" i="2"/>
  <c r="X79" i="2"/>
  <c r="X65" i="2"/>
  <c r="X38" i="2"/>
  <c r="X101" i="2"/>
  <c r="X87" i="2"/>
  <c r="X45" i="3"/>
  <c r="X45" i="2" s="1"/>
  <c r="X46" i="2"/>
  <c r="X25" i="2"/>
  <c r="X24" i="3"/>
  <c r="X24" i="2" s="1"/>
  <c r="X7" i="2"/>
  <c r="X96" i="2"/>
  <c r="X90" i="2"/>
  <c r="X89" i="2"/>
  <c r="X84" i="2"/>
  <c r="X71" i="2"/>
  <c r="X63" i="2"/>
  <c r="X30" i="2"/>
  <c r="X168" i="2"/>
  <c r="X160" i="2"/>
  <c r="X49" i="2"/>
  <c r="X37" i="2"/>
  <c r="X67" i="2"/>
  <c r="X68" i="2"/>
  <c r="X48" i="2"/>
  <c r="X85" i="2"/>
  <c r="X80" i="2"/>
  <c r="X132" i="2"/>
  <c r="X69" i="2"/>
  <c r="X44" i="2"/>
  <c r="X99" i="2"/>
  <c r="X53" i="2"/>
  <c r="X157" i="2"/>
  <c r="X139" i="2"/>
  <c r="X19" i="2"/>
  <c r="X5" i="2"/>
  <c r="X147" i="2"/>
  <c r="X144" i="2"/>
  <c r="X10" i="2"/>
  <c r="X8" i="2"/>
  <c r="X161" i="2"/>
  <c r="X58" i="2"/>
  <c r="X130" i="2"/>
  <c r="X34" i="2"/>
  <c r="X64" i="2"/>
  <c r="X95" i="2"/>
  <c r="X138" i="2"/>
  <c r="X91" i="2"/>
  <c r="X61" i="2"/>
  <c r="X60" i="3"/>
  <c r="X60" i="2" s="1"/>
  <c r="X56" i="2"/>
  <c r="X108" i="2"/>
  <c r="X152" i="2"/>
  <c r="X21" i="2"/>
  <c r="X153" i="2"/>
  <c r="X158" i="2"/>
  <c r="X166" i="2"/>
  <c r="X142" i="2"/>
  <c r="X32" i="2"/>
  <c r="X47" i="2"/>
  <c r="AD163" i="2"/>
  <c r="AD158" i="2"/>
  <c r="AD152" i="2"/>
  <c r="AD162" i="2"/>
  <c r="AD160" i="2"/>
  <c r="AD151" i="2"/>
  <c r="AD122" i="2"/>
  <c r="AD118" i="2"/>
  <c r="AD114" i="2"/>
  <c r="AD110" i="2"/>
  <c r="AD157" i="2"/>
  <c r="AD169" i="2"/>
  <c r="AD146" i="2"/>
  <c r="AD142" i="2"/>
  <c r="AD138" i="2"/>
  <c r="AD134" i="2"/>
  <c r="AD130" i="2"/>
  <c r="AD166" i="2"/>
  <c r="AD147" i="2"/>
  <c r="AD126" i="3"/>
  <c r="AD126" i="2" s="1"/>
  <c r="AD127" i="2"/>
  <c r="AD123" i="2"/>
  <c r="AD113" i="2"/>
  <c r="AD108" i="2"/>
  <c r="AD165" i="2"/>
  <c r="AD156" i="2"/>
  <c r="AD164" i="2"/>
  <c r="AD133" i="2"/>
  <c r="AD128" i="2"/>
  <c r="AD103" i="2"/>
  <c r="AD99" i="2"/>
  <c r="AD95" i="2"/>
  <c r="AD91" i="2"/>
  <c r="AD85" i="2"/>
  <c r="AD155" i="2"/>
  <c r="AD154" i="2"/>
  <c r="AD143" i="2"/>
  <c r="AD136" i="2"/>
  <c r="AD107" i="2"/>
  <c r="AD100" i="2"/>
  <c r="AD90" i="2"/>
  <c r="AD148" i="3"/>
  <c r="AD148" i="2" s="1"/>
  <c r="AD149" i="2"/>
  <c r="AD106" i="2"/>
  <c r="AD84" i="2"/>
  <c r="AD72" i="2"/>
  <c r="AD21" i="2"/>
  <c r="AD145" i="2"/>
  <c r="AD42" i="2"/>
  <c r="AD38" i="2"/>
  <c r="AD34" i="2"/>
  <c r="AD30" i="2"/>
  <c r="AD26" i="2"/>
  <c r="AD14" i="2"/>
  <c r="AD161" i="2"/>
  <c r="AD144" i="2"/>
  <c r="AD112" i="2"/>
  <c r="AD98" i="2"/>
  <c r="AD80" i="2"/>
  <c r="AD71" i="2"/>
  <c r="AD67" i="2"/>
  <c r="AD63" i="2"/>
  <c r="AD7" i="2"/>
  <c r="AD82" i="3"/>
  <c r="AD82" i="2" s="1"/>
  <c r="AD83" i="2"/>
  <c r="AD37" i="2"/>
  <c r="AD32" i="2"/>
  <c r="AD16" i="2"/>
  <c r="AD94" i="2"/>
  <c r="AD51" i="2"/>
  <c r="AD27" i="2"/>
  <c r="AD78" i="2"/>
  <c r="AD57" i="2"/>
  <c r="AD52" i="2"/>
  <c r="AD23" i="2"/>
  <c r="AD13" i="2"/>
  <c r="AD115" i="2"/>
  <c r="AD73" i="2"/>
  <c r="AD6" i="2"/>
  <c r="AD129" i="2"/>
  <c r="AD47" i="2"/>
  <c r="AD35" i="2"/>
  <c r="AD8" i="2"/>
  <c r="AD75" i="2"/>
  <c r="AD62" i="2"/>
  <c r="AD54" i="2"/>
  <c r="AD101" i="2"/>
  <c r="AD65" i="2"/>
  <c r="AD55" i="2"/>
  <c r="AD40" i="2"/>
  <c r="AD137" i="2"/>
  <c r="AD132" i="2"/>
  <c r="AD111" i="2"/>
  <c r="AD39" i="2"/>
  <c r="AD64" i="2"/>
  <c r="AD29" i="2"/>
  <c r="AD135" i="2"/>
  <c r="AD102" i="2"/>
  <c r="AD60" i="3"/>
  <c r="AD60" i="2" s="1"/>
  <c r="AD61" i="2"/>
  <c r="AD20" i="2"/>
  <c r="AD121" i="2"/>
  <c r="AD12" i="2"/>
  <c r="AD56" i="2"/>
  <c r="AD81" i="2"/>
  <c r="AD68" i="2"/>
  <c r="AD117" i="2"/>
  <c r="AD41" i="2"/>
  <c r="AD15" i="2"/>
  <c r="AD124" i="2"/>
  <c r="AD44" i="2"/>
  <c r="AD139" i="2"/>
  <c r="AD5" i="2"/>
  <c r="AD86" i="2"/>
  <c r="AD131" i="2"/>
  <c r="AD97" i="2"/>
  <c r="AD79" i="2"/>
  <c r="AD45" i="3"/>
  <c r="AD45" i="2" s="1"/>
  <c r="AD46" i="2"/>
  <c r="AD36" i="2"/>
  <c r="AD11" i="2"/>
  <c r="AD22" i="2"/>
  <c r="AD89" i="2"/>
  <c r="AD58" i="2"/>
  <c r="AD17" i="2"/>
  <c r="AD119" i="2"/>
  <c r="AD116" i="2"/>
  <c r="AD93" i="2"/>
  <c r="AD69" i="2"/>
  <c r="AD50" i="2"/>
  <c r="AD168" i="2"/>
  <c r="AD49" i="2"/>
  <c r="AD10" i="2"/>
  <c r="AD76" i="2"/>
  <c r="AD53" i="2"/>
  <c r="AD109" i="2"/>
  <c r="AD140" i="2"/>
  <c r="AD70" i="2"/>
  <c r="AD77" i="2"/>
  <c r="AD9" i="2"/>
  <c r="AD105" i="2"/>
  <c r="AD104" i="3"/>
  <c r="AD104" i="2" s="1"/>
  <c r="AD25" i="2"/>
  <c r="AD24" i="3"/>
  <c r="AD24" i="2" s="1"/>
  <c r="AD87" i="2"/>
  <c r="AD43" i="2"/>
  <c r="AD3" i="3"/>
  <c r="AD3" i="2" s="1"/>
  <c r="AD4" i="2"/>
  <c r="AD18" i="2"/>
  <c r="AD48" i="2"/>
  <c r="AD66" i="2"/>
  <c r="AD92" i="2"/>
  <c r="AD28" i="2"/>
  <c r="AD74" i="2"/>
  <c r="AD153" i="2"/>
  <c r="AD150" i="2"/>
  <c r="AD141" i="2"/>
  <c r="AD125" i="2"/>
  <c r="AD31" i="2"/>
  <c r="AD88" i="2"/>
  <c r="AD33" i="2"/>
  <c r="AD167" i="2"/>
  <c r="AD19" i="2"/>
  <c r="AD120" i="2"/>
  <c r="AD159" i="2"/>
  <c r="AD96" i="2"/>
  <c r="BL165" i="2"/>
  <c r="BL160" i="2"/>
  <c r="BL155" i="2"/>
  <c r="BL169" i="2"/>
  <c r="BL164" i="2"/>
  <c r="BL123" i="2"/>
  <c r="BL119" i="2"/>
  <c r="BL115" i="2"/>
  <c r="BL111" i="2"/>
  <c r="BL107" i="2"/>
  <c r="BL159" i="2"/>
  <c r="BL125" i="2"/>
  <c r="BL120" i="2"/>
  <c r="BL110" i="2"/>
  <c r="BL135" i="2"/>
  <c r="BL163" i="2"/>
  <c r="BL154" i="2"/>
  <c r="BL145" i="2"/>
  <c r="BL140" i="2"/>
  <c r="BL130" i="2"/>
  <c r="BL121" i="2"/>
  <c r="BL147" i="2"/>
  <c r="BL133" i="2"/>
  <c r="BL109" i="2"/>
  <c r="BL94" i="2"/>
  <c r="BL86" i="2"/>
  <c r="BL153" i="2"/>
  <c r="BL116" i="2"/>
  <c r="BL168" i="2"/>
  <c r="BL158" i="2"/>
  <c r="BL150" i="2"/>
  <c r="BL124" i="2"/>
  <c r="BL112" i="2"/>
  <c r="BL104" i="3"/>
  <c r="BL104" i="2" s="1"/>
  <c r="BL105" i="2"/>
  <c r="BL93" i="2"/>
  <c r="BL23" i="2"/>
  <c r="BL136" i="2"/>
  <c r="BL122" i="2"/>
  <c r="BL96" i="2"/>
  <c r="BL76" i="2"/>
  <c r="BL16" i="2"/>
  <c r="BL151" i="2"/>
  <c r="BL77" i="2"/>
  <c r="BL75" i="2"/>
  <c r="BL43" i="2"/>
  <c r="BL39" i="2"/>
  <c r="BL35" i="2"/>
  <c r="BL31" i="2"/>
  <c r="BL27" i="2"/>
  <c r="BL9" i="2"/>
  <c r="BL141" i="2"/>
  <c r="BL101" i="2"/>
  <c r="BL85" i="2"/>
  <c r="BL80" i="2"/>
  <c r="BL73" i="2"/>
  <c r="BL44" i="2"/>
  <c r="BL34" i="2"/>
  <c r="BL29" i="2"/>
  <c r="BL14" i="2"/>
  <c r="BL97" i="2"/>
  <c r="BL70" i="2"/>
  <c r="BL65" i="2"/>
  <c r="BL142" i="2"/>
  <c r="BL54" i="2"/>
  <c r="BL49" i="2"/>
  <c r="BL21" i="2"/>
  <c r="BL11" i="2"/>
  <c r="BL146" i="2"/>
  <c r="BL72" i="2"/>
  <c r="BL51" i="2"/>
  <c r="BL152" i="2"/>
  <c r="BL131" i="2"/>
  <c r="BL81" i="2"/>
  <c r="BL69" i="2"/>
  <c r="BL64" i="2"/>
  <c r="BL7" i="2"/>
  <c r="BL148" i="3"/>
  <c r="BL148" i="2" s="1"/>
  <c r="BL149" i="2"/>
  <c r="BL128" i="2"/>
  <c r="BL53" i="2"/>
  <c r="BL30" i="2"/>
  <c r="BL52" i="2"/>
  <c r="BL157" i="2"/>
  <c r="BL90" i="2"/>
  <c r="BL63" i="2"/>
  <c r="BL38" i="2"/>
  <c r="BL156" i="2"/>
  <c r="BL137" i="2"/>
  <c r="BL82" i="3"/>
  <c r="BL82" i="2" s="1"/>
  <c r="BL83" i="2"/>
  <c r="BL67" i="2"/>
  <c r="BL55" i="2"/>
  <c r="BL15" i="2"/>
  <c r="BL3" i="3"/>
  <c r="BL3" i="2" s="1"/>
  <c r="BL4" i="2"/>
  <c r="BL143" i="2"/>
  <c r="BL71" i="2"/>
  <c r="BL62" i="2"/>
  <c r="BL60" i="3"/>
  <c r="BL60" i="2" s="1"/>
  <c r="BL61" i="2"/>
  <c r="BL40" i="2"/>
  <c r="BL28" i="2"/>
  <c r="BL5" i="2"/>
  <c r="BL41" i="2"/>
  <c r="BL92" i="2"/>
  <c r="BL88" i="2"/>
  <c r="BL78" i="2"/>
  <c r="BL6" i="2"/>
  <c r="BL95" i="2"/>
  <c r="BL68" i="2"/>
  <c r="BL103" i="2"/>
  <c r="BL84" i="2"/>
  <c r="BL99" i="2"/>
  <c r="BL66" i="2"/>
  <c r="BL91" i="2"/>
  <c r="BL33" i="2"/>
  <c r="BL18" i="2"/>
  <c r="BL144" i="2"/>
  <c r="BL118" i="2"/>
  <c r="BL13" i="2"/>
  <c r="BL114" i="2"/>
  <c r="BL36" i="2"/>
  <c r="BL57" i="2"/>
  <c r="BL56" i="2"/>
  <c r="BL74" i="2"/>
  <c r="BL47" i="2"/>
  <c r="BL22" i="2"/>
  <c r="BL129" i="2"/>
  <c r="BL58" i="2"/>
  <c r="BL166" i="2"/>
  <c r="BL20" i="2"/>
  <c r="BL161" i="2"/>
  <c r="BL12" i="2"/>
  <c r="BL167" i="2"/>
  <c r="BL87" i="2"/>
  <c r="BL102" i="2"/>
  <c r="BL106" i="2"/>
  <c r="BL32" i="2"/>
  <c r="BL46" i="2"/>
  <c r="BL45" i="3"/>
  <c r="BL45" i="2" s="1"/>
  <c r="BL50" i="2"/>
  <c r="BL134" i="2"/>
  <c r="BL113" i="2"/>
  <c r="BL26" i="2"/>
  <c r="BL108" i="2"/>
  <c r="BL17" i="2"/>
  <c r="BL10" i="2"/>
  <c r="BL98" i="2"/>
  <c r="BL162" i="2"/>
  <c r="BL24" i="3"/>
  <c r="BL24" i="2" s="1"/>
  <c r="BL25" i="2"/>
  <c r="BL132" i="2"/>
  <c r="BL48" i="2"/>
  <c r="BL100" i="2"/>
  <c r="BL19" i="2"/>
  <c r="BL126" i="3"/>
  <c r="BL126" i="2" s="1"/>
  <c r="BL127" i="2"/>
  <c r="BL8" i="2"/>
  <c r="BL79" i="2"/>
  <c r="BL89" i="2"/>
  <c r="BL139" i="2"/>
  <c r="BL37" i="2"/>
  <c r="BL138" i="2"/>
  <c r="BL117" i="2"/>
  <c r="BL42" i="2"/>
  <c r="AW156" i="2"/>
  <c r="AW167" i="2"/>
  <c r="AW162" i="2"/>
  <c r="AW157" i="2"/>
  <c r="AW150" i="2"/>
  <c r="AW122" i="2"/>
  <c r="AW118" i="2"/>
  <c r="AW114" i="2"/>
  <c r="AW110" i="2"/>
  <c r="AW106" i="2"/>
  <c r="AW160" i="2"/>
  <c r="AW158" i="2"/>
  <c r="AW131" i="2"/>
  <c r="AW117" i="2"/>
  <c r="AW112" i="2"/>
  <c r="AW107" i="2"/>
  <c r="AW142" i="2"/>
  <c r="AW137" i="2"/>
  <c r="AW132" i="2"/>
  <c r="AW168" i="2"/>
  <c r="AW163" i="2"/>
  <c r="AW161" i="2"/>
  <c r="AW102" i="2"/>
  <c r="AW126" i="3"/>
  <c r="AW126" i="2" s="1"/>
  <c r="AW127" i="2"/>
  <c r="AW115" i="2"/>
  <c r="AW103" i="2"/>
  <c r="AW101" i="2"/>
  <c r="AW91" i="2"/>
  <c r="AW85" i="2"/>
  <c r="AW97" i="2"/>
  <c r="AW82" i="3"/>
  <c r="AW82" i="2" s="1"/>
  <c r="AW83" i="2"/>
  <c r="AW8" i="2"/>
  <c r="AW155" i="2"/>
  <c r="AW129" i="2"/>
  <c r="AW100" i="2"/>
  <c r="AW88" i="2"/>
  <c r="AW73" i="2"/>
  <c r="AW21" i="2"/>
  <c r="AW138" i="2"/>
  <c r="AW79" i="2"/>
  <c r="AW72" i="2"/>
  <c r="AW42" i="2"/>
  <c r="AW38" i="2"/>
  <c r="AW34" i="2"/>
  <c r="AW30" i="2"/>
  <c r="AW26" i="2"/>
  <c r="AW14" i="2"/>
  <c r="AW133" i="2"/>
  <c r="AW77" i="2"/>
  <c r="AW41" i="2"/>
  <c r="AW36" i="2"/>
  <c r="AW12" i="2"/>
  <c r="AW99" i="2"/>
  <c r="AW95" i="2"/>
  <c r="AW67" i="2"/>
  <c r="AW62" i="2"/>
  <c r="AW55" i="2"/>
  <c r="AW31" i="2"/>
  <c r="AW15" i="2"/>
  <c r="AW165" i="2"/>
  <c r="AW119" i="2"/>
  <c r="AW92" i="2"/>
  <c r="AW86" i="2"/>
  <c r="AW75" i="2"/>
  <c r="AW56" i="2"/>
  <c r="AW45" i="3"/>
  <c r="AW45" i="2" s="1"/>
  <c r="AW46" i="2"/>
  <c r="AW22" i="2"/>
  <c r="AW19" i="2"/>
  <c r="AW145" i="2"/>
  <c r="AW121" i="2"/>
  <c r="AW116" i="2"/>
  <c r="AW90" i="2"/>
  <c r="AW74" i="2"/>
  <c r="AW68" i="2"/>
  <c r="AW166" i="2"/>
  <c r="AW151" i="2"/>
  <c r="AW87" i="2"/>
  <c r="AW57" i="2"/>
  <c r="AW33" i="2"/>
  <c r="AW11" i="2"/>
  <c r="AW130" i="2"/>
  <c r="AW128" i="2"/>
  <c r="AW109" i="2"/>
  <c r="AW76" i="2"/>
  <c r="AW20" i="2"/>
  <c r="AW154" i="2"/>
  <c r="AW69" i="2"/>
  <c r="AW7" i="2"/>
  <c r="AW153" i="2"/>
  <c r="AW139" i="2"/>
  <c r="AW134" i="2"/>
  <c r="AW96" i="2"/>
  <c r="AW71" i="2"/>
  <c r="AW58" i="2"/>
  <c r="AW32" i="2"/>
  <c r="AW78" i="2"/>
  <c r="AW43" i="2"/>
  <c r="AW6" i="2"/>
  <c r="AW169" i="2"/>
  <c r="AW164" i="2"/>
  <c r="AW144" i="2"/>
  <c r="AW47" i="2"/>
  <c r="AW9" i="2"/>
  <c r="AW25" i="2"/>
  <c r="AW24" i="3"/>
  <c r="AW24" i="2" s="1"/>
  <c r="AW93" i="2"/>
  <c r="AW89" i="2"/>
  <c r="AW80" i="2"/>
  <c r="AW120" i="2"/>
  <c r="AW54" i="2"/>
  <c r="AW10" i="2"/>
  <c r="AW70" i="2"/>
  <c r="AW48" i="2"/>
  <c r="AW147" i="2"/>
  <c r="AW135" i="2"/>
  <c r="AW111" i="2"/>
  <c r="AW104" i="3"/>
  <c r="AW104" i="2" s="1"/>
  <c r="AW105" i="2"/>
  <c r="AW53" i="2"/>
  <c r="AW143" i="2"/>
  <c r="AW61" i="2"/>
  <c r="AW60" i="3"/>
  <c r="AW60" i="2" s="1"/>
  <c r="AW49" i="2"/>
  <c r="AW39" i="2"/>
  <c r="AW51" i="2"/>
  <c r="AW140" i="2"/>
  <c r="AW113" i="2"/>
  <c r="AW108" i="2"/>
  <c r="AW3" i="3"/>
  <c r="AW3" i="2" s="1"/>
  <c r="AW4" i="2"/>
  <c r="AW35" i="2"/>
  <c r="AW52" i="2"/>
  <c r="AW23" i="2"/>
  <c r="AW28" i="2"/>
  <c r="AW125" i="2"/>
  <c r="AW18" i="2"/>
  <c r="AW16" i="2"/>
  <c r="AW136" i="2"/>
  <c r="AW124" i="2"/>
  <c r="AW123" i="2"/>
  <c r="AW149" i="2"/>
  <c r="AW148" i="3"/>
  <c r="AW148" i="2" s="1"/>
  <c r="AW65" i="2"/>
  <c r="AW152" i="2"/>
  <c r="AW17" i="2"/>
  <c r="AW37" i="2"/>
  <c r="AW29" i="2"/>
  <c r="AW66" i="2"/>
  <c r="AW13" i="2"/>
  <c r="AW64" i="2"/>
  <c r="AW146" i="2"/>
  <c r="AW50" i="2"/>
  <c r="AW141" i="2"/>
  <c r="AW159" i="2"/>
  <c r="AW98" i="2"/>
  <c r="AW27" i="2"/>
  <c r="AW40" i="2"/>
  <c r="AW84" i="2"/>
  <c r="AW5" i="2"/>
  <c r="AW94" i="2"/>
  <c r="AW63" i="2"/>
  <c r="AW81" i="2"/>
  <c r="AW44" i="2"/>
  <c r="AI169" i="2"/>
  <c r="AI151" i="2"/>
  <c r="AI125" i="2"/>
  <c r="AI121" i="2"/>
  <c r="AI117" i="2"/>
  <c r="AI113" i="2"/>
  <c r="AI109" i="2"/>
  <c r="AI164" i="2"/>
  <c r="AI159" i="2"/>
  <c r="AI152" i="2"/>
  <c r="AI145" i="2"/>
  <c r="AI141" i="2"/>
  <c r="AI137" i="2"/>
  <c r="AI133" i="2"/>
  <c r="AI129" i="2"/>
  <c r="AI162" i="2"/>
  <c r="AI138" i="2"/>
  <c r="AI144" i="2"/>
  <c r="AI163" i="2"/>
  <c r="AI154" i="2"/>
  <c r="AI114" i="2"/>
  <c r="AI102" i="2"/>
  <c r="AI98" i="2"/>
  <c r="AI94" i="2"/>
  <c r="AI90" i="2"/>
  <c r="AI160" i="2"/>
  <c r="AI131" i="2"/>
  <c r="AI88" i="2"/>
  <c r="AI84" i="2"/>
  <c r="AI161" i="2"/>
  <c r="AI140" i="2"/>
  <c r="AI123" i="2"/>
  <c r="AI116" i="2"/>
  <c r="AI97" i="2"/>
  <c r="AI157" i="2"/>
  <c r="AI120" i="2"/>
  <c r="AI92" i="2"/>
  <c r="AI80" i="2"/>
  <c r="AI6" i="2"/>
  <c r="AI166" i="2"/>
  <c r="AI122" i="2"/>
  <c r="AI111" i="2"/>
  <c r="AI101" i="2"/>
  <c r="AI89" i="2"/>
  <c r="AI41" i="2"/>
  <c r="AI37" i="2"/>
  <c r="AI33" i="2"/>
  <c r="AI29" i="2"/>
  <c r="AI24" i="3"/>
  <c r="AI24" i="2" s="1"/>
  <c r="AI25" i="2"/>
  <c r="AI19" i="2"/>
  <c r="AI153" i="2"/>
  <c r="AI135" i="2"/>
  <c r="AI85" i="2"/>
  <c r="AI70" i="2"/>
  <c r="AI66" i="2"/>
  <c r="AI62" i="2"/>
  <c r="AI12" i="2"/>
  <c r="AI158" i="2"/>
  <c r="AI143" i="2"/>
  <c r="AI69" i="2"/>
  <c r="AI47" i="2"/>
  <c r="AI43" i="2"/>
  <c r="AI13" i="2"/>
  <c r="AI53" i="2"/>
  <c r="AI48" i="2"/>
  <c r="AI17" i="2"/>
  <c r="AI112" i="2"/>
  <c r="AI93" i="2"/>
  <c r="AI64" i="2"/>
  <c r="AI38" i="2"/>
  <c r="AI20" i="2"/>
  <c r="AI132" i="2"/>
  <c r="AI79" i="2"/>
  <c r="AI54" i="2"/>
  <c r="AI30" i="2"/>
  <c r="AI148" i="3"/>
  <c r="AI148" i="2" s="1"/>
  <c r="AI149" i="2"/>
  <c r="AI134" i="2"/>
  <c r="AI118" i="2"/>
  <c r="AI110" i="2"/>
  <c r="AI39" i="2"/>
  <c r="AI22" i="2"/>
  <c r="AI147" i="2"/>
  <c r="AI96" i="2"/>
  <c r="AI27" i="2"/>
  <c r="AI126" i="3"/>
  <c r="AI126" i="2" s="1"/>
  <c r="AI127" i="2"/>
  <c r="AI28" i="2"/>
  <c r="AI11" i="2"/>
  <c r="AI82" i="3"/>
  <c r="AI82" i="2" s="1"/>
  <c r="AI83" i="2"/>
  <c r="AI75" i="2"/>
  <c r="AI63" i="2"/>
  <c r="AI49" i="2"/>
  <c r="AI36" i="2"/>
  <c r="AI18" i="2"/>
  <c r="AI9" i="2"/>
  <c r="AI108" i="2"/>
  <c r="AI86" i="2"/>
  <c r="AI107" i="2"/>
  <c r="AI81" i="2"/>
  <c r="AI72" i="2"/>
  <c r="AI68" i="2"/>
  <c r="AI35" i="2"/>
  <c r="AI7" i="2"/>
  <c r="AI52" i="2"/>
  <c r="AI139" i="2"/>
  <c r="AI45" i="3"/>
  <c r="AI45" i="2" s="1"/>
  <c r="AI46" i="2"/>
  <c r="AI119" i="2"/>
  <c r="AI50" i="2"/>
  <c r="AI32" i="2"/>
  <c r="AI5" i="2"/>
  <c r="AI76" i="2"/>
  <c r="AI165" i="2"/>
  <c r="AI115" i="2"/>
  <c r="AI74" i="2"/>
  <c r="AI58" i="2"/>
  <c r="AI130" i="2"/>
  <c r="AI61" i="2"/>
  <c r="AI60" i="3"/>
  <c r="AI60" i="2" s="1"/>
  <c r="AI56" i="2"/>
  <c r="AI87" i="2"/>
  <c r="AI67" i="2"/>
  <c r="AI34" i="2"/>
  <c r="AI16" i="2"/>
  <c r="AI155" i="2"/>
  <c r="AI100" i="2"/>
  <c r="AI77" i="2"/>
  <c r="AI104" i="3"/>
  <c r="AI104" i="2" s="1"/>
  <c r="AI105" i="2"/>
  <c r="AI106" i="2"/>
  <c r="AI14" i="2"/>
  <c r="AI73" i="2"/>
  <c r="AI150" i="2"/>
  <c r="AI128" i="2"/>
  <c r="AI44" i="2"/>
  <c r="AI55" i="2"/>
  <c r="AI4" i="2"/>
  <c r="AI3" i="3"/>
  <c r="AI3" i="2" s="1"/>
  <c r="AI8" i="2"/>
  <c r="AI136" i="2"/>
  <c r="AI21" i="2"/>
  <c r="AI15" i="2"/>
  <c r="AI71" i="2"/>
  <c r="AI42" i="2"/>
  <c r="AI23" i="2"/>
  <c r="AI99" i="2"/>
  <c r="AI91" i="2"/>
  <c r="AI156" i="2"/>
  <c r="AI26" i="2"/>
  <c r="AI103" i="2"/>
  <c r="AI146" i="2"/>
  <c r="AI167" i="2"/>
  <c r="AI51" i="2"/>
  <c r="AI95" i="2"/>
  <c r="AI57" i="2"/>
  <c r="AI10" i="2"/>
  <c r="AI40" i="2"/>
  <c r="AI31" i="2"/>
  <c r="AI78" i="2"/>
  <c r="AI65" i="2"/>
  <c r="AI168" i="2"/>
  <c r="AI124" i="2"/>
  <c r="AI142" i="2"/>
  <c r="G168" i="2"/>
  <c r="G164" i="2"/>
  <c r="G160" i="2"/>
  <c r="G156" i="2"/>
  <c r="G153" i="2"/>
  <c r="G148" i="3"/>
  <c r="G148" i="2" s="1"/>
  <c r="G149" i="2"/>
  <c r="G163" i="2"/>
  <c r="G158" i="2"/>
  <c r="G151" i="2"/>
  <c r="G147" i="2"/>
  <c r="G143" i="2"/>
  <c r="G139" i="2"/>
  <c r="G135" i="2"/>
  <c r="G131" i="2"/>
  <c r="G126" i="3"/>
  <c r="G126" i="2" s="1"/>
  <c r="G127" i="2"/>
  <c r="G159" i="2"/>
  <c r="G123" i="2"/>
  <c r="G118" i="2"/>
  <c r="G113" i="2"/>
  <c r="G108" i="2"/>
  <c r="G138" i="2"/>
  <c r="G133" i="2"/>
  <c r="G128" i="2"/>
  <c r="G109" i="2"/>
  <c r="G162" i="2"/>
  <c r="G101" i="2"/>
  <c r="G91" i="2"/>
  <c r="G81" i="2"/>
  <c r="G77" i="2"/>
  <c r="G145" i="2"/>
  <c r="G121" i="2"/>
  <c r="G134" i="2"/>
  <c r="G119" i="2"/>
  <c r="G111" i="2"/>
  <c r="G95" i="2"/>
  <c r="G84" i="2"/>
  <c r="G68" i="2"/>
  <c r="G64" i="2"/>
  <c r="G22" i="2"/>
  <c r="G142" i="2"/>
  <c r="G110" i="2"/>
  <c r="G98" i="2"/>
  <c r="G73" i="2"/>
  <c r="G55" i="2"/>
  <c r="G51" i="2"/>
  <c r="G47" i="2"/>
  <c r="G15" i="2"/>
  <c r="G89" i="2"/>
  <c r="G80" i="2"/>
  <c r="G72" i="2"/>
  <c r="G8" i="2"/>
  <c r="G165" i="2"/>
  <c r="G107" i="2"/>
  <c r="G97" i="2"/>
  <c r="G42" i="2"/>
  <c r="G37" i="2"/>
  <c r="G32" i="2"/>
  <c r="G16" i="2"/>
  <c r="G124" i="2"/>
  <c r="G106" i="2"/>
  <c r="G104" i="3"/>
  <c r="G104" i="2" s="1"/>
  <c r="G105" i="2"/>
  <c r="G63" i="2"/>
  <c r="G27" i="2"/>
  <c r="G150" i="2"/>
  <c r="G76" i="2"/>
  <c r="G57" i="2"/>
  <c r="G52" i="2"/>
  <c r="G23" i="2"/>
  <c r="G13" i="2"/>
  <c r="G130" i="2"/>
  <c r="G96" i="2"/>
  <c r="G94" i="2"/>
  <c r="G93" i="2"/>
  <c r="G44" i="2"/>
  <c r="G19" i="2"/>
  <c r="G140" i="2"/>
  <c r="G92" i="2"/>
  <c r="G69" i="2"/>
  <c r="G56" i="2"/>
  <c r="G49" i="2"/>
  <c r="G24" i="3"/>
  <c r="G24" i="2" s="1"/>
  <c r="G25" i="2"/>
  <c r="G90" i="2"/>
  <c r="G88" i="2"/>
  <c r="G3" i="3"/>
  <c r="G3" i="2" s="1"/>
  <c r="G4" i="2"/>
  <c r="G157" i="2"/>
  <c r="G122" i="2"/>
  <c r="G117" i="2"/>
  <c r="G112" i="2"/>
  <c r="G75" i="2"/>
  <c r="G26" i="2"/>
  <c r="G21" i="2"/>
  <c r="G17" i="2"/>
  <c r="G14" i="2"/>
  <c r="G12" i="2"/>
  <c r="G11" i="2"/>
  <c r="G125" i="2"/>
  <c r="G36" i="2"/>
  <c r="G18" i="2"/>
  <c r="G152" i="2"/>
  <c r="G60" i="3"/>
  <c r="G60" i="2" s="1"/>
  <c r="G61" i="2"/>
  <c r="G9" i="2"/>
  <c r="G137" i="2"/>
  <c r="G53" i="2"/>
  <c r="G31" i="2"/>
  <c r="G43" i="2"/>
  <c r="G161" i="2"/>
  <c r="G114" i="2"/>
  <c r="G87" i="2"/>
  <c r="G85" i="2"/>
  <c r="G58" i="2"/>
  <c r="G38" i="2"/>
  <c r="G136" i="2"/>
  <c r="G65" i="2"/>
  <c r="G33" i="2"/>
  <c r="G66" i="2"/>
  <c r="G154" i="2"/>
  <c r="G41" i="2"/>
  <c r="G155" i="2"/>
  <c r="G129" i="2"/>
  <c r="G99" i="2"/>
  <c r="G70" i="2"/>
  <c r="G6" i="2"/>
  <c r="G167" i="2"/>
  <c r="G71" i="2"/>
  <c r="G86" i="2"/>
  <c r="G102" i="2"/>
  <c r="G132" i="2"/>
  <c r="G78" i="2"/>
  <c r="G50" i="2"/>
  <c r="G144" i="2"/>
  <c r="G116" i="2"/>
  <c r="G28" i="2"/>
  <c r="G82" i="3"/>
  <c r="G82" i="2" s="1"/>
  <c r="G83" i="2"/>
  <c r="G103" i="2"/>
  <c r="G100" i="2"/>
  <c r="G40" i="2"/>
  <c r="G20" i="2"/>
  <c r="G10" i="2"/>
  <c r="G7" i="2"/>
  <c r="G45" i="3"/>
  <c r="G45" i="2" s="1"/>
  <c r="G46" i="2"/>
  <c r="G79" i="2"/>
  <c r="G39" i="2"/>
  <c r="G169" i="2"/>
  <c r="G54" i="2"/>
  <c r="G74" i="2"/>
  <c r="G62" i="2"/>
  <c r="G30" i="2"/>
  <c r="G141" i="2"/>
  <c r="G67" i="2"/>
  <c r="G166" i="2"/>
  <c r="G29" i="2"/>
  <c r="G146" i="2"/>
  <c r="G115" i="2"/>
  <c r="G48" i="2"/>
  <c r="G34" i="2"/>
  <c r="G35" i="2"/>
  <c r="G120" i="2"/>
  <c r="G5" i="2"/>
  <c r="Y167" i="2"/>
  <c r="Y162" i="2"/>
  <c r="Y157" i="2"/>
  <c r="Y153" i="2"/>
  <c r="Y148" i="3"/>
  <c r="Y148" i="2" s="1"/>
  <c r="Y149" i="2"/>
  <c r="Y123" i="2"/>
  <c r="Y119" i="2"/>
  <c r="Y115" i="2"/>
  <c r="Y111" i="2"/>
  <c r="Y107" i="2"/>
  <c r="Y165" i="2"/>
  <c r="Y150" i="2"/>
  <c r="Y160" i="2"/>
  <c r="Y147" i="2"/>
  <c r="Y143" i="2"/>
  <c r="Y139" i="2"/>
  <c r="Y135" i="2"/>
  <c r="Y131" i="2"/>
  <c r="Y126" i="3"/>
  <c r="Y126" i="2" s="1"/>
  <c r="Y127" i="2"/>
  <c r="Y104" i="3"/>
  <c r="Y104" i="2" s="1"/>
  <c r="Y105" i="2"/>
  <c r="Y155" i="2"/>
  <c r="Y122" i="2"/>
  <c r="Y117" i="2"/>
  <c r="Y112" i="2"/>
  <c r="Y100" i="2"/>
  <c r="Y96" i="2"/>
  <c r="Y92" i="2"/>
  <c r="Y159" i="2"/>
  <c r="Y93" i="2"/>
  <c r="Y86" i="2"/>
  <c r="Y134" i="2"/>
  <c r="Y110" i="2"/>
  <c r="Y146" i="2"/>
  <c r="Y124" i="2"/>
  <c r="Y102" i="2"/>
  <c r="Y97" i="2"/>
  <c r="Y16" i="2"/>
  <c r="Y156" i="2"/>
  <c r="Y137" i="2"/>
  <c r="Y103" i="2"/>
  <c r="Y88" i="2"/>
  <c r="Y82" i="3"/>
  <c r="Y82" i="2" s="1"/>
  <c r="Y83" i="2"/>
  <c r="Y74" i="2"/>
  <c r="Y43" i="2"/>
  <c r="Y39" i="2"/>
  <c r="Y35" i="2"/>
  <c r="Y31" i="2"/>
  <c r="Y27" i="2"/>
  <c r="Y9" i="2"/>
  <c r="Y152" i="2"/>
  <c r="Y113" i="2"/>
  <c r="Y91" i="2"/>
  <c r="Y68" i="2"/>
  <c r="Y64" i="2"/>
  <c r="Y22" i="2"/>
  <c r="Y169" i="2"/>
  <c r="Y154" i="2"/>
  <c r="Y140" i="2"/>
  <c r="Y136" i="2"/>
  <c r="Y120" i="2"/>
  <c r="Y81" i="2"/>
  <c r="Y151" i="2"/>
  <c r="Y141" i="2"/>
  <c r="Y41" i="2"/>
  <c r="Y36" i="2"/>
  <c r="Y26" i="2"/>
  <c r="Y12" i="2"/>
  <c r="Y121" i="2"/>
  <c r="Y98" i="2"/>
  <c r="Y75" i="2"/>
  <c r="Y67" i="2"/>
  <c r="Y62" i="2"/>
  <c r="Y20" i="2"/>
  <c r="Y14" i="2"/>
  <c r="Y73" i="2"/>
  <c r="Y52" i="2"/>
  <c r="Y50" i="2"/>
  <c r="Y28" i="2"/>
  <c r="Y23" i="2"/>
  <c r="Y17" i="2"/>
  <c r="Y144" i="2"/>
  <c r="Y70" i="2"/>
  <c r="Y42" i="2"/>
  <c r="Y145" i="2"/>
  <c r="Y94" i="2"/>
  <c r="Y164" i="2"/>
  <c r="Y109" i="2"/>
  <c r="Y54" i="2"/>
  <c r="Y101" i="2"/>
  <c r="Y65" i="2"/>
  <c r="Y55" i="2"/>
  <c r="Y40" i="2"/>
  <c r="Y132" i="2"/>
  <c r="Y130" i="2"/>
  <c r="Y78" i="2"/>
  <c r="Y33" i="2"/>
  <c r="Y71" i="2"/>
  <c r="Y56" i="2"/>
  <c r="Y163" i="2"/>
  <c r="Y90" i="2"/>
  <c r="Y11" i="2"/>
  <c r="Y128" i="2"/>
  <c r="Y3" i="3"/>
  <c r="Y3" i="2" s="1"/>
  <c r="Y4" i="2"/>
  <c r="Y133" i="2"/>
  <c r="Y129" i="2"/>
  <c r="Y77" i="2"/>
  <c r="Y72" i="2"/>
  <c r="Y29" i="2"/>
  <c r="Y13" i="2"/>
  <c r="Y87" i="2"/>
  <c r="Y46" i="2"/>
  <c r="Y45" i="3"/>
  <c r="Y45" i="2" s="1"/>
  <c r="Y18" i="2"/>
  <c r="Y5" i="2"/>
  <c r="Y38" i="2"/>
  <c r="Y79" i="2"/>
  <c r="Y161" i="2"/>
  <c r="Y25" i="2"/>
  <c r="Y24" i="3"/>
  <c r="Y24" i="2" s="1"/>
  <c r="Y7" i="2"/>
  <c r="Y138" i="2"/>
  <c r="Y116" i="2"/>
  <c r="Y48" i="2"/>
  <c r="Y85" i="2"/>
  <c r="Y49" i="2"/>
  <c r="Y8" i="2"/>
  <c r="Y60" i="3"/>
  <c r="Y60" i="2" s="1"/>
  <c r="Y61" i="2"/>
  <c r="Y166" i="2"/>
  <c r="Y19" i="2"/>
  <c r="Y76" i="2"/>
  <c r="Y37" i="2"/>
  <c r="Y34" i="2"/>
  <c r="Y168" i="2"/>
  <c r="Y10" i="2"/>
  <c r="Y80" i="2"/>
  <c r="Y69" i="2"/>
  <c r="Y44" i="2"/>
  <c r="Y99" i="2"/>
  <c r="Y53" i="2"/>
  <c r="Y118" i="2"/>
  <c r="Y106" i="2"/>
  <c r="Y47" i="2"/>
  <c r="Y21" i="2"/>
  <c r="Y6" i="2"/>
  <c r="Y63" i="2"/>
  <c r="Y108" i="2"/>
  <c r="Y30" i="2"/>
  <c r="Y15" i="2"/>
  <c r="Y66" i="2"/>
  <c r="Y51" i="2"/>
  <c r="Y89" i="2"/>
  <c r="Y57" i="2"/>
  <c r="Y158" i="2"/>
  <c r="Y95" i="2"/>
  <c r="Y125" i="2"/>
  <c r="Y114" i="2"/>
  <c r="Y58" i="2"/>
  <c r="Y142" i="2"/>
  <c r="Y32" i="2"/>
  <c r="Y84" i="2"/>
  <c r="AX167" i="2"/>
  <c r="AX162" i="2"/>
  <c r="AX157" i="2"/>
  <c r="AX152" i="2"/>
  <c r="AX156" i="2"/>
  <c r="AX122" i="2"/>
  <c r="AX118" i="2"/>
  <c r="AX114" i="2"/>
  <c r="AX110" i="2"/>
  <c r="AX165" i="2"/>
  <c r="AX146" i="2"/>
  <c r="AX142" i="2"/>
  <c r="AX138" i="2"/>
  <c r="AX134" i="2"/>
  <c r="AX130" i="2"/>
  <c r="AX137" i="2"/>
  <c r="AX132" i="2"/>
  <c r="AX153" i="2"/>
  <c r="AX103" i="2"/>
  <c r="AX99" i="2"/>
  <c r="AX95" i="2"/>
  <c r="AX91" i="2"/>
  <c r="AX126" i="3"/>
  <c r="AX126" i="2" s="1"/>
  <c r="AX127" i="2"/>
  <c r="AX115" i="2"/>
  <c r="AX106" i="2"/>
  <c r="AX101" i="2"/>
  <c r="AX85" i="2"/>
  <c r="AX169" i="2"/>
  <c r="AX158" i="2"/>
  <c r="AX139" i="2"/>
  <c r="AX100" i="2"/>
  <c r="AX90" i="2"/>
  <c r="AX155" i="2"/>
  <c r="AX129" i="2"/>
  <c r="AX88" i="2"/>
  <c r="AX73" i="2"/>
  <c r="AX21" i="2"/>
  <c r="AX131" i="2"/>
  <c r="AX79" i="2"/>
  <c r="AX72" i="2"/>
  <c r="AX42" i="2"/>
  <c r="AX38" i="2"/>
  <c r="AX34" i="2"/>
  <c r="AX30" i="2"/>
  <c r="AX26" i="2"/>
  <c r="AX14" i="2"/>
  <c r="AX140" i="2"/>
  <c r="AX67" i="2"/>
  <c r="AX63" i="2"/>
  <c r="AX7" i="2"/>
  <c r="AX62" i="2"/>
  <c r="AX55" i="2"/>
  <c r="AX31" i="2"/>
  <c r="AX15" i="2"/>
  <c r="AX161" i="2"/>
  <c r="AX119" i="2"/>
  <c r="AX92" i="2"/>
  <c r="AX86" i="2"/>
  <c r="AX75" i="2"/>
  <c r="AX56" i="2"/>
  <c r="AX46" i="2"/>
  <c r="AX45" i="3"/>
  <c r="AX45" i="2" s="1"/>
  <c r="AX22" i="2"/>
  <c r="AX19" i="2"/>
  <c r="AX147" i="2"/>
  <c r="AX108" i="2"/>
  <c r="AX9" i="2"/>
  <c r="AX166" i="2"/>
  <c r="AX151" i="2"/>
  <c r="AX87" i="2"/>
  <c r="AX57" i="2"/>
  <c r="AX33" i="2"/>
  <c r="AX11" i="2"/>
  <c r="AX128" i="2"/>
  <c r="AX112" i="2"/>
  <c r="AX109" i="2"/>
  <c r="AX102" i="2"/>
  <c r="AX76" i="2"/>
  <c r="AX20" i="2"/>
  <c r="AX124" i="2"/>
  <c r="AX111" i="2"/>
  <c r="AX84" i="2"/>
  <c r="AX77" i="2"/>
  <c r="AX52" i="2"/>
  <c r="AX50" i="2"/>
  <c r="AX28" i="2"/>
  <c r="AX23" i="2"/>
  <c r="AX17" i="2"/>
  <c r="AX150" i="2"/>
  <c r="AX96" i="2"/>
  <c r="AX71" i="2"/>
  <c r="AX58" i="2"/>
  <c r="AX32" i="2"/>
  <c r="AX144" i="2"/>
  <c r="AX78" i="2"/>
  <c r="AX74" i="2"/>
  <c r="AX43" i="2"/>
  <c r="AX6" i="2"/>
  <c r="AX160" i="2"/>
  <c r="AX120" i="2"/>
  <c r="AX80" i="2"/>
  <c r="AX68" i="2"/>
  <c r="AX93" i="2"/>
  <c r="AX89" i="2"/>
  <c r="AX168" i="2"/>
  <c r="AX54" i="2"/>
  <c r="AX10" i="2"/>
  <c r="AX116" i="2"/>
  <c r="AX70" i="2"/>
  <c r="AX48" i="2"/>
  <c r="AX25" i="2"/>
  <c r="AX24" i="3"/>
  <c r="AX24" i="2" s="1"/>
  <c r="AX135" i="2"/>
  <c r="AX107" i="2"/>
  <c r="AX145" i="2"/>
  <c r="AX53" i="2"/>
  <c r="AX81" i="2"/>
  <c r="AX47" i="2"/>
  <c r="AX143" i="2"/>
  <c r="AX61" i="2"/>
  <c r="AX60" i="3"/>
  <c r="AX60" i="2" s="1"/>
  <c r="AX49" i="2"/>
  <c r="AX39" i="2"/>
  <c r="AX51" i="2"/>
  <c r="AX8" i="2"/>
  <c r="AX113" i="2"/>
  <c r="AX105" i="2"/>
  <c r="AX104" i="3"/>
  <c r="AX104" i="2" s="1"/>
  <c r="AX41" i="2"/>
  <c r="AX3" i="3"/>
  <c r="AX3" i="2" s="1"/>
  <c r="AX4" i="2"/>
  <c r="AX154" i="2"/>
  <c r="AX69" i="2"/>
  <c r="AX18" i="2"/>
  <c r="AX16" i="2"/>
  <c r="AX29" i="2"/>
  <c r="AX133" i="2"/>
  <c r="AX148" i="3"/>
  <c r="AX148" i="2" s="1"/>
  <c r="AX149" i="2"/>
  <c r="AX13" i="2"/>
  <c r="AX64" i="2"/>
  <c r="AX40" i="2"/>
  <c r="AX27" i="2"/>
  <c r="AX159" i="2"/>
  <c r="AX66" i="2"/>
  <c r="AX65" i="2"/>
  <c r="AX136" i="2"/>
  <c r="AX123" i="2"/>
  <c r="AX37" i="2"/>
  <c r="AX125" i="2"/>
  <c r="AX163" i="2"/>
  <c r="AX141" i="2"/>
  <c r="AX35" i="2"/>
  <c r="AX5" i="2"/>
  <c r="AX117" i="2"/>
  <c r="AX94" i="2"/>
  <c r="AX121" i="2"/>
  <c r="AX36" i="2"/>
  <c r="AX98" i="2"/>
  <c r="AX83" i="2"/>
  <c r="AX82" i="3"/>
  <c r="AX82" i="2" s="1"/>
  <c r="AX97" i="2"/>
  <c r="AX12" i="2"/>
  <c r="AX164" i="2"/>
  <c r="AX44" i="2"/>
  <c r="AZ167" i="2"/>
  <c r="AZ163" i="2"/>
  <c r="AZ159" i="2"/>
  <c r="AZ155" i="2"/>
  <c r="AZ152" i="2"/>
  <c r="AZ158" i="2"/>
  <c r="AZ165" i="2"/>
  <c r="AZ146" i="2"/>
  <c r="AZ142" i="2"/>
  <c r="AZ138" i="2"/>
  <c r="AZ134" i="2"/>
  <c r="AZ130" i="2"/>
  <c r="AZ151" i="2"/>
  <c r="AZ153" i="2"/>
  <c r="AZ122" i="2"/>
  <c r="AZ147" i="2"/>
  <c r="AZ126" i="3"/>
  <c r="AZ126" i="2" s="1"/>
  <c r="AZ127" i="2"/>
  <c r="AZ123" i="2"/>
  <c r="AZ113" i="2"/>
  <c r="AZ108" i="2"/>
  <c r="AZ168" i="2"/>
  <c r="AZ169" i="2"/>
  <c r="AZ139" i="2"/>
  <c r="AZ103" i="2"/>
  <c r="AZ100" i="2"/>
  <c r="AZ90" i="2"/>
  <c r="AZ124" i="2"/>
  <c r="AZ117" i="2"/>
  <c r="AZ80" i="2"/>
  <c r="AZ76" i="2"/>
  <c r="AZ148" i="3"/>
  <c r="AZ148" i="2" s="1"/>
  <c r="AZ149" i="2"/>
  <c r="AZ129" i="2"/>
  <c r="AZ89" i="2"/>
  <c r="AZ140" i="2"/>
  <c r="AZ72" i="2"/>
  <c r="AZ67" i="2"/>
  <c r="AZ63" i="2"/>
  <c r="AZ7" i="2"/>
  <c r="AZ128" i="2"/>
  <c r="AZ116" i="2"/>
  <c r="AZ84" i="2"/>
  <c r="AZ71" i="2"/>
  <c r="AZ58" i="2"/>
  <c r="AZ54" i="2"/>
  <c r="AZ50" i="2"/>
  <c r="AZ45" i="3"/>
  <c r="AZ45" i="2" s="1"/>
  <c r="AZ46" i="2"/>
  <c r="AZ20" i="2"/>
  <c r="AZ115" i="2"/>
  <c r="AZ13" i="2"/>
  <c r="AZ114" i="2"/>
  <c r="AZ26" i="2"/>
  <c r="AZ9" i="2"/>
  <c r="AZ157" i="2"/>
  <c r="AZ150" i="2"/>
  <c r="AZ118" i="2"/>
  <c r="AZ37" i="2"/>
  <c r="AZ32" i="2"/>
  <c r="AZ16" i="2"/>
  <c r="AZ125" i="2"/>
  <c r="AZ98" i="2"/>
  <c r="AZ81" i="2"/>
  <c r="AZ51" i="2"/>
  <c r="AZ27" i="2"/>
  <c r="AZ119" i="2"/>
  <c r="AZ111" i="2"/>
  <c r="AZ99" i="2"/>
  <c r="AZ85" i="2"/>
  <c r="AZ77" i="2"/>
  <c r="AZ52" i="2"/>
  <c r="AZ28" i="2"/>
  <c r="AZ23" i="2"/>
  <c r="AZ17" i="2"/>
  <c r="AZ156" i="2"/>
  <c r="AZ70" i="2"/>
  <c r="AZ55" i="2"/>
  <c r="AZ161" i="2"/>
  <c r="AZ83" i="2"/>
  <c r="AZ82" i="3"/>
  <c r="AZ82" i="2" s="1"/>
  <c r="AZ65" i="2"/>
  <c r="AZ40" i="2"/>
  <c r="AZ14" i="2"/>
  <c r="AZ6" i="2"/>
  <c r="AZ160" i="2"/>
  <c r="AZ120" i="2"/>
  <c r="AZ92" i="2"/>
  <c r="AZ68" i="2"/>
  <c r="AZ56" i="2"/>
  <c r="AZ33" i="2"/>
  <c r="AZ144" i="2"/>
  <c r="AZ112" i="2"/>
  <c r="AZ79" i="2"/>
  <c r="AZ34" i="2"/>
  <c r="AZ136" i="2"/>
  <c r="AZ91" i="2"/>
  <c r="AZ48" i="2"/>
  <c r="AZ43" i="2"/>
  <c r="AZ25" i="2"/>
  <c r="AZ24" i="3"/>
  <c r="AZ24" i="2" s="1"/>
  <c r="AZ154" i="2"/>
  <c r="AZ39" i="2"/>
  <c r="AZ73" i="2"/>
  <c r="AZ38" i="2"/>
  <c r="AZ22" i="2"/>
  <c r="AZ101" i="2"/>
  <c r="AZ49" i="2"/>
  <c r="AZ44" i="2"/>
  <c r="AZ15" i="2"/>
  <c r="AZ8" i="2"/>
  <c r="AZ62" i="2"/>
  <c r="AZ145" i="2"/>
  <c r="AZ109" i="2"/>
  <c r="AZ105" i="2"/>
  <c r="AZ104" i="3"/>
  <c r="AZ104" i="2" s="1"/>
  <c r="AZ53" i="2"/>
  <c r="AZ41" i="2"/>
  <c r="AZ3" i="3"/>
  <c r="AZ3" i="2" s="1"/>
  <c r="AZ4" i="2"/>
  <c r="AZ88" i="2"/>
  <c r="AZ75" i="2"/>
  <c r="AZ162" i="2"/>
  <c r="AZ106" i="2"/>
  <c r="AZ78" i="2"/>
  <c r="AZ47" i="2"/>
  <c r="AZ66" i="2"/>
  <c r="AZ64" i="2"/>
  <c r="AZ12" i="2"/>
  <c r="AZ74" i="2"/>
  <c r="AZ95" i="2"/>
  <c r="AZ29" i="2"/>
  <c r="AZ61" i="2"/>
  <c r="AZ60" i="3"/>
  <c r="AZ60" i="2" s="1"/>
  <c r="AZ110" i="2"/>
  <c r="AZ166" i="2"/>
  <c r="AZ132" i="2"/>
  <c r="AZ133" i="2"/>
  <c r="AZ42" i="2"/>
  <c r="AZ137" i="2"/>
  <c r="AZ57" i="2"/>
  <c r="AZ21" i="2"/>
  <c r="AZ141" i="2"/>
  <c r="AZ31" i="2"/>
  <c r="AZ107" i="2"/>
  <c r="AZ18" i="2"/>
  <c r="AZ97" i="2"/>
  <c r="AZ102" i="2"/>
  <c r="AZ30" i="2"/>
  <c r="AZ19" i="2"/>
  <c r="AZ86" i="2"/>
  <c r="AZ5" i="2"/>
  <c r="AZ10" i="2"/>
  <c r="AZ96" i="2"/>
  <c r="AZ164" i="2"/>
  <c r="AZ135" i="2"/>
  <c r="AZ121" i="2"/>
  <c r="AZ143" i="2"/>
  <c r="AZ36" i="2"/>
  <c r="AZ69" i="2"/>
  <c r="AZ87" i="2"/>
  <c r="AZ131" i="2"/>
  <c r="AZ93" i="2"/>
  <c r="AZ94" i="2"/>
  <c r="AZ11" i="2"/>
  <c r="AZ35" i="2"/>
  <c r="AN160" i="2"/>
  <c r="AN155" i="2"/>
  <c r="AN154" i="2"/>
  <c r="AN150" i="2"/>
  <c r="AN161" i="2"/>
  <c r="AN159" i="2"/>
  <c r="AN153" i="2"/>
  <c r="AN124" i="2"/>
  <c r="AN120" i="2"/>
  <c r="AN116" i="2"/>
  <c r="AN112" i="2"/>
  <c r="AN108" i="2"/>
  <c r="AN166" i="2"/>
  <c r="AN144" i="2"/>
  <c r="AN140" i="2"/>
  <c r="AN136" i="2"/>
  <c r="AN132" i="2"/>
  <c r="AN128" i="2"/>
  <c r="AN125" i="2"/>
  <c r="AN110" i="2"/>
  <c r="AN148" i="3"/>
  <c r="AN148" i="2" s="1"/>
  <c r="AN149" i="2"/>
  <c r="AN135" i="2"/>
  <c r="AN111" i="2"/>
  <c r="AN101" i="2"/>
  <c r="AN97" i="2"/>
  <c r="AN93" i="2"/>
  <c r="AN89" i="2"/>
  <c r="AN151" i="2"/>
  <c r="AN87" i="2"/>
  <c r="AN82" i="3"/>
  <c r="AN82" i="2" s="1"/>
  <c r="AN83" i="2"/>
  <c r="AN142" i="2"/>
  <c r="AN118" i="2"/>
  <c r="AN95" i="2"/>
  <c r="AN121" i="2"/>
  <c r="AN11" i="2"/>
  <c r="AN96" i="2"/>
  <c r="AN44" i="2"/>
  <c r="AN40" i="2"/>
  <c r="AN36" i="2"/>
  <c r="AN32" i="2"/>
  <c r="AN28" i="2"/>
  <c r="AN3" i="3"/>
  <c r="AN3" i="2" s="1"/>
  <c r="AN4" i="2"/>
  <c r="AN134" i="2"/>
  <c r="AN107" i="2"/>
  <c r="AN69" i="2"/>
  <c r="AN65" i="2"/>
  <c r="AN60" i="3"/>
  <c r="AN60" i="2" s="1"/>
  <c r="AN61" i="2"/>
  <c r="AN17" i="2"/>
  <c r="AN117" i="2"/>
  <c r="AN100" i="2"/>
  <c r="AN73" i="2"/>
  <c r="AN138" i="2"/>
  <c r="AN106" i="2"/>
  <c r="AN90" i="2"/>
  <c r="AN34" i="2"/>
  <c r="AN29" i="2"/>
  <c r="AN14" i="2"/>
  <c r="AN163" i="2"/>
  <c r="AN104" i="3"/>
  <c r="AN104" i="2" s="1"/>
  <c r="AN105" i="2"/>
  <c r="AN70" i="2"/>
  <c r="AN147" i="2"/>
  <c r="AN64" i="2"/>
  <c r="AN92" i="2"/>
  <c r="AN88" i="2"/>
  <c r="AN46" i="2"/>
  <c r="AN45" i="3"/>
  <c r="AN45" i="2" s="1"/>
  <c r="AN41" i="2"/>
  <c r="AN12" i="2"/>
  <c r="AN137" i="2"/>
  <c r="AN91" i="2"/>
  <c r="AN74" i="2"/>
  <c r="AN7" i="2"/>
  <c r="AN113" i="2"/>
  <c r="AN49" i="2"/>
  <c r="AN23" i="2"/>
  <c r="AN19" i="2"/>
  <c r="AN18" i="2"/>
  <c r="AN15" i="2"/>
  <c r="AN9" i="2"/>
  <c r="AN102" i="2"/>
  <c r="AN77" i="2"/>
  <c r="AN22" i="2"/>
  <c r="AN20" i="2"/>
  <c r="AN13" i="2"/>
  <c r="AN123" i="2"/>
  <c r="AN47" i="2"/>
  <c r="AN35" i="2"/>
  <c r="AN79" i="2"/>
  <c r="AN42" i="2"/>
  <c r="AN8" i="2"/>
  <c r="AN141" i="2"/>
  <c r="AN139" i="2"/>
  <c r="AN169" i="2"/>
  <c r="AN164" i="2"/>
  <c r="AN43" i="2"/>
  <c r="AN168" i="2"/>
  <c r="AN165" i="2"/>
  <c r="AN133" i="2"/>
  <c r="AN99" i="2"/>
  <c r="AN57" i="2"/>
  <c r="AN21" i="2"/>
  <c r="AN167" i="2"/>
  <c r="AN157" i="2"/>
  <c r="AN115" i="2"/>
  <c r="AN98" i="2"/>
  <c r="AN67" i="2"/>
  <c r="AN58" i="2"/>
  <c r="AN63" i="2"/>
  <c r="AN10" i="2"/>
  <c r="AN103" i="2"/>
  <c r="AN71" i="2"/>
  <c r="AN86" i="2"/>
  <c r="AN145" i="2"/>
  <c r="AN146" i="2"/>
  <c r="AN76" i="2"/>
  <c r="AN156" i="2"/>
  <c r="AN37" i="2"/>
  <c r="AN30" i="2"/>
  <c r="AN131" i="2"/>
  <c r="AN80" i="2"/>
  <c r="AN53" i="2"/>
  <c r="AN62" i="2"/>
  <c r="AN109" i="2"/>
  <c r="AN68" i="2"/>
  <c r="AN75" i="2"/>
  <c r="AN66" i="2"/>
  <c r="AN33" i="2"/>
  <c r="AN143" i="2"/>
  <c r="AN122" i="2"/>
  <c r="AN54" i="2"/>
  <c r="AN5" i="2"/>
  <c r="AN48" i="2"/>
  <c r="AN24" i="3"/>
  <c r="AN24" i="2" s="1"/>
  <c r="AN25" i="2"/>
  <c r="AN114" i="2"/>
  <c r="AN127" i="2"/>
  <c r="AN126" i="3"/>
  <c r="AN126" i="2" s="1"/>
  <c r="AN38" i="2"/>
  <c r="AN16" i="2"/>
  <c r="AN158" i="2"/>
  <c r="AN119" i="2"/>
  <c r="AN52" i="2"/>
  <c r="AN129" i="2"/>
  <c r="AN50" i="2"/>
  <c r="AN72" i="2"/>
  <c r="AN78" i="2"/>
  <c r="AN81" i="2"/>
  <c r="AN152" i="2"/>
  <c r="AN6" i="2"/>
  <c r="AN94" i="2"/>
  <c r="AN130" i="2"/>
  <c r="AN56" i="2"/>
  <c r="AN162" i="2"/>
  <c r="AN27" i="2"/>
  <c r="AN51" i="2"/>
  <c r="AN39" i="2"/>
  <c r="AN26" i="2"/>
  <c r="AN31" i="2"/>
  <c r="AN84" i="2"/>
  <c r="AN55" i="2"/>
  <c r="AN85" i="2"/>
  <c r="F62" i="2"/>
  <c r="F158" i="2"/>
  <c r="F44" i="2"/>
  <c r="F78" i="2"/>
  <c r="F12" i="2"/>
  <c r="F81" i="2"/>
  <c r="F133" i="2"/>
  <c r="F160" i="2"/>
  <c r="F32" i="2"/>
  <c r="F93" i="2"/>
  <c r="F38" i="2"/>
  <c r="F161" i="2"/>
  <c r="F110" i="2"/>
  <c r="F113" i="2"/>
  <c r="F37" i="2"/>
  <c r="F98" i="2"/>
  <c r="F15" i="2"/>
  <c r="F52" i="2"/>
  <c r="F43" i="2"/>
  <c r="F155" i="2"/>
  <c r="F49" i="2"/>
  <c r="F169" i="2"/>
  <c r="F18" i="2"/>
  <c r="F58" i="2"/>
  <c r="F148" i="3"/>
  <c r="F148" i="2" s="1"/>
  <c r="F149" i="2"/>
  <c r="F70" i="2"/>
  <c r="F163" i="2"/>
  <c r="F9" i="2"/>
  <c r="F19" i="2"/>
  <c r="F30" i="2"/>
  <c r="F159" i="2"/>
  <c r="F92" i="2"/>
  <c r="F97" i="2"/>
  <c r="F16" i="2"/>
  <c r="F111" i="2"/>
  <c r="F51" i="2"/>
  <c r="F29" i="2"/>
  <c r="F31" i="2"/>
  <c r="F108" i="2"/>
  <c r="F95" i="2"/>
  <c r="F143" i="2"/>
  <c r="F36" i="2"/>
  <c r="F56" i="2"/>
  <c r="F168" i="2"/>
  <c r="F136" i="2"/>
  <c r="F104" i="3"/>
  <c r="F104" i="2" s="1"/>
  <c r="F105" i="2"/>
  <c r="F128" i="2"/>
  <c r="F114" i="2"/>
  <c r="F63" i="2"/>
  <c r="F96" i="2"/>
  <c r="F147" i="2"/>
  <c r="F109" i="2"/>
  <c r="F137" i="2"/>
  <c r="F151" i="2"/>
  <c r="F121" i="2"/>
  <c r="F100" i="2"/>
  <c r="F48" i="2"/>
  <c r="F144" i="2"/>
  <c r="F65" i="2"/>
  <c r="F5" i="2"/>
  <c r="F26" i="2"/>
  <c r="F132" i="2"/>
  <c r="F47" i="2"/>
  <c r="F7" i="2"/>
  <c r="F25" i="2"/>
  <c r="F24" i="3"/>
  <c r="F24" i="2" s="1"/>
  <c r="F77" i="2"/>
  <c r="F67" i="2"/>
  <c r="F88" i="2"/>
  <c r="F21" i="2"/>
  <c r="F40" i="2"/>
  <c r="F156" i="2"/>
  <c r="F101" i="2"/>
  <c r="F138" i="2"/>
  <c r="F33" i="2"/>
  <c r="F106" i="2"/>
  <c r="F73" i="2"/>
  <c r="F80" i="2"/>
  <c r="F142" i="2"/>
  <c r="F84" i="2"/>
  <c r="F107" i="2"/>
  <c r="F154" i="2"/>
  <c r="F13" i="2"/>
  <c r="F140" i="2"/>
  <c r="F4" i="2"/>
  <c r="F3" i="3"/>
  <c r="F3" i="2" s="1"/>
  <c r="F146" i="2"/>
  <c r="F89" i="2"/>
  <c r="F125" i="2"/>
  <c r="F94" i="2"/>
  <c r="F122" i="2"/>
  <c r="F119" i="2"/>
  <c r="F11" i="2"/>
  <c r="F72" i="2"/>
  <c r="F124" i="2"/>
  <c r="F123" i="2"/>
  <c r="F60" i="3"/>
  <c r="F60" i="2" s="1"/>
  <c r="F61" i="2"/>
  <c r="F116" i="2"/>
  <c r="F34" i="2"/>
  <c r="F83" i="2"/>
  <c r="F82" i="3"/>
  <c r="F82" i="2" s="1"/>
  <c r="F66" i="2"/>
  <c r="F153" i="2"/>
  <c r="F134" i="2"/>
  <c r="F53" i="2"/>
  <c r="F10" i="2"/>
  <c r="F152" i="2"/>
  <c r="F87" i="2"/>
  <c r="F42" i="2"/>
  <c r="F85" i="2"/>
  <c r="F165" i="2"/>
  <c r="F17" i="2"/>
  <c r="F68" i="2"/>
  <c r="F28" i="2"/>
  <c r="F91" i="2"/>
  <c r="F103" i="2"/>
  <c r="F102" i="2"/>
  <c r="F141" i="2"/>
  <c r="F150" i="2"/>
  <c r="F139" i="2"/>
  <c r="F22" i="2"/>
  <c r="F164" i="2"/>
  <c r="F129" i="2"/>
  <c r="F117" i="2"/>
  <c r="F6" i="2"/>
  <c r="F135" i="2"/>
  <c r="F35" i="2"/>
  <c r="F86" i="2"/>
  <c r="F118" i="2"/>
  <c r="F14" i="2"/>
  <c r="F115" i="2"/>
  <c r="F131" i="2"/>
  <c r="F46" i="2"/>
  <c r="F45" i="3"/>
  <c r="F45" i="2" s="1"/>
  <c r="F39" i="2"/>
  <c r="F157" i="2"/>
  <c r="F79" i="2"/>
  <c r="F130" i="2"/>
  <c r="F23" i="2"/>
  <c r="F27" i="2"/>
  <c r="F54" i="2"/>
  <c r="F90" i="2"/>
  <c r="F71" i="2"/>
  <c r="F76" i="2"/>
  <c r="F50" i="2"/>
  <c r="F120" i="2"/>
  <c r="F99" i="2"/>
  <c r="F8" i="2"/>
  <c r="F167" i="2"/>
  <c r="F127" i="2"/>
  <c r="F126" i="3"/>
  <c r="F126" i="2" s="1"/>
  <c r="F162" i="2"/>
  <c r="F57" i="2"/>
  <c r="F55" i="2"/>
  <c r="F20" i="2"/>
  <c r="F41" i="2"/>
  <c r="F75" i="2"/>
  <c r="F166" i="2"/>
  <c r="F145" i="2"/>
  <c r="F74" i="2"/>
  <c r="F112" i="2"/>
  <c r="F64" i="2"/>
  <c r="F69" i="2"/>
  <c r="AV168" i="2"/>
  <c r="AV164" i="2"/>
  <c r="AV160" i="2"/>
  <c r="AV156" i="2"/>
  <c r="AV167" i="2"/>
  <c r="AV162" i="2"/>
  <c r="AV157" i="2"/>
  <c r="AV150" i="2"/>
  <c r="AV122" i="2"/>
  <c r="AV118" i="2"/>
  <c r="AV114" i="2"/>
  <c r="AV110" i="2"/>
  <c r="AV106" i="2"/>
  <c r="AV169" i="2"/>
  <c r="AV161" i="2"/>
  <c r="AV159" i="2"/>
  <c r="AV158" i="2"/>
  <c r="AV131" i="2"/>
  <c r="AV117" i="2"/>
  <c r="AV112" i="2"/>
  <c r="AV107" i="2"/>
  <c r="AV144" i="2"/>
  <c r="AV120" i="2"/>
  <c r="AV92" i="2"/>
  <c r="AV81" i="2"/>
  <c r="AV163" i="2"/>
  <c r="AV102" i="2"/>
  <c r="AV127" i="2"/>
  <c r="AV126" i="3"/>
  <c r="AV126" i="2" s="1"/>
  <c r="AV115" i="2"/>
  <c r="AV103" i="2"/>
  <c r="AV101" i="2"/>
  <c r="AV91" i="2"/>
  <c r="AV85" i="2"/>
  <c r="AV94" i="2"/>
  <c r="AV55" i="2"/>
  <c r="AV51" i="2"/>
  <c r="AV47" i="2"/>
  <c r="AV15" i="2"/>
  <c r="AV97" i="2"/>
  <c r="AV82" i="3"/>
  <c r="AV82" i="2" s="1"/>
  <c r="AV83" i="2"/>
  <c r="AV8" i="2"/>
  <c r="AV155" i="2"/>
  <c r="AV129" i="2"/>
  <c r="AV100" i="2"/>
  <c r="AV88" i="2"/>
  <c r="AV73" i="2"/>
  <c r="AV21" i="2"/>
  <c r="AV166" i="2"/>
  <c r="AV146" i="2"/>
  <c r="AV139" i="2"/>
  <c r="AV128" i="2"/>
  <c r="AV89" i="2"/>
  <c r="AV133" i="2"/>
  <c r="AV77" i="2"/>
  <c r="AV41" i="2"/>
  <c r="AV36" i="2"/>
  <c r="AV26" i="2"/>
  <c r="AV12" i="2"/>
  <c r="AV99" i="2"/>
  <c r="AV95" i="2"/>
  <c r="AV67" i="2"/>
  <c r="AV62" i="2"/>
  <c r="AV31" i="2"/>
  <c r="AV165" i="2"/>
  <c r="AV86" i="2"/>
  <c r="AV63" i="2"/>
  <c r="AV60" i="3"/>
  <c r="AV60" i="2" s="1"/>
  <c r="AV61" i="2"/>
  <c r="AV38" i="2"/>
  <c r="AV145" i="2"/>
  <c r="AV121" i="2"/>
  <c r="AV119" i="2"/>
  <c r="AV116" i="2"/>
  <c r="AV90" i="2"/>
  <c r="AV74" i="2"/>
  <c r="AV68" i="2"/>
  <c r="AV151" i="2"/>
  <c r="AV142" i="2"/>
  <c r="AV138" i="2"/>
  <c r="AV87" i="2"/>
  <c r="AV57" i="2"/>
  <c r="AV33" i="2"/>
  <c r="AV11" i="2"/>
  <c r="AV108" i="2"/>
  <c r="AV44" i="2"/>
  <c r="AV42" i="2"/>
  <c r="AV35" i="2"/>
  <c r="AV154" i="2"/>
  <c r="AV69" i="2"/>
  <c r="AV56" i="2"/>
  <c r="AV7" i="2"/>
  <c r="AV134" i="2"/>
  <c r="AV96" i="2"/>
  <c r="AV71" i="2"/>
  <c r="AV58" i="2"/>
  <c r="AV32" i="2"/>
  <c r="AV65" i="2"/>
  <c r="AV64" i="2"/>
  <c r="AV53" i="2"/>
  <c r="AV14" i="2"/>
  <c r="AV43" i="2"/>
  <c r="AV9" i="2"/>
  <c r="AV153" i="2"/>
  <c r="AV93" i="2"/>
  <c r="AV80" i="2"/>
  <c r="AV54" i="2"/>
  <c r="AV10" i="2"/>
  <c r="AV37" i="2"/>
  <c r="AV34" i="2"/>
  <c r="AV28" i="2"/>
  <c r="AV6" i="2"/>
  <c r="AV78" i="2"/>
  <c r="AV49" i="2"/>
  <c r="AV39" i="2"/>
  <c r="AV143" i="2"/>
  <c r="AV135" i="2"/>
  <c r="AV109" i="2"/>
  <c r="AV98" i="2"/>
  <c r="AV75" i="2"/>
  <c r="AV25" i="2"/>
  <c r="AV24" i="3"/>
  <c r="AV24" i="2" s="1"/>
  <c r="AV124" i="2"/>
  <c r="AV152" i="2"/>
  <c r="AV113" i="2"/>
  <c r="AV76" i="2"/>
  <c r="AV132" i="2"/>
  <c r="AV123" i="2"/>
  <c r="AV29" i="2"/>
  <c r="AV23" i="2"/>
  <c r="AV140" i="2"/>
  <c r="AV66" i="2"/>
  <c r="AV22" i="2"/>
  <c r="AV137" i="2"/>
  <c r="AV148" i="3"/>
  <c r="AV148" i="2" s="1"/>
  <c r="AV149" i="2"/>
  <c r="AV111" i="2"/>
  <c r="AV104" i="3"/>
  <c r="AV104" i="2" s="1"/>
  <c r="AV105" i="2"/>
  <c r="AV18" i="2"/>
  <c r="AV16" i="2"/>
  <c r="AV48" i="2"/>
  <c r="AV17" i="2"/>
  <c r="AV136" i="2"/>
  <c r="AV52" i="2"/>
  <c r="AV125" i="2"/>
  <c r="AV13" i="2"/>
  <c r="AV3" i="3"/>
  <c r="AV3" i="2" s="1"/>
  <c r="AV4" i="2"/>
  <c r="AV130" i="2"/>
  <c r="AV27" i="2"/>
  <c r="AV30" i="2"/>
  <c r="AV19" i="2"/>
  <c r="AV147" i="2"/>
  <c r="AV45" i="3"/>
  <c r="AV45" i="2" s="1"/>
  <c r="AV46" i="2"/>
  <c r="AV5" i="2"/>
  <c r="AV50" i="2"/>
  <c r="AV40" i="2"/>
  <c r="AV84" i="2"/>
  <c r="AV20" i="2"/>
  <c r="AV79" i="2"/>
  <c r="AV72" i="2"/>
  <c r="AV141" i="2"/>
  <c r="AV70" i="2"/>
  <c r="AG167" i="2"/>
  <c r="AG163" i="2"/>
  <c r="AG159" i="2"/>
  <c r="AG155" i="2"/>
  <c r="AG168" i="2"/>
  <c r="AG169" i="2"/>
  <c r="AG125" i="2"/>
  <c r="AG121" i="2"/>
  <c r="AG117" i="2"/>
  <c r="AG113" i="2"/>
  <c r="AG109" i="2"/>
  <c r="AG104" i="3"/>
  <c r="AG104" i="2" s="1"/>
  <c r="AG105" i="2"/>
  <c r="AG118" i="2"/>
  <c r="AG152" i="2"/>
  <c r="AG143" i="2"/>
  <c r="AG124" i="2"/>
  <c r="AG119" i="2"/>
  <c r="AG162" i="2"/>
  <c r="AG138" i="2"/>
  <c r="AG166" i="2"/>
  <c r="AG89" i="2"/>
  <c r="AG80" i="2"/>
  <c r="AG153" i="2"/>
  <c r="AG114" i="2"/>
  <c r="AG99" i="2"/>
  <c r="AG160" i="2"/>
  <c r="AG145" i="2"/>
  <c r="AG131" i="2"/>
  <c r="AG98" i="2"/>
  <c r="AG88" i="2"/>
  <c r="AG84" i="2"/>
  <c r="AG136" i="2"/>
  <c r="AG58" i="2"/>
  <c r="AG54" i="2"/>
  <c r="AG50" i="2"/>
  <c r="AG45" i="3"/>
  <c r="AG45" i="2" s="1"/>
  <c r="AG46" i="2"/>
  <c r="AG20" i="2"/>
  <c r="AG146" i="2"/>
  <c r="AG13" i="2"/>
  <c r="AG157" i="2"/>
  <c r="AG120" i="2"/>
  <c r="AG92" i="2"/>
  <c r="AG6" i="2"/>
  <c r="AG137" i="2"/>
  <c r="AG130" i="2"/>
  <c r="AG116" i="2"/>
  <c r="AG101" i="2"/>
  <c r="AG68" i="2"/>
  <c r="AG42" i="2"/>
  <c r="AG156" i="2"/>
  <c r="AG142" i="2"/>
  <c r="AG110" i="2"/>
  <c r="AG97" i="2"/>
  <c r="AG91" i="2"/>
  <c r="AG76" i="2"/>
  <c r="AG72" i="2"/>
  <c r="AG63" i="2"/>
  <c r="AG33" i="2"/>
  <c r="AG28" i="2"/>
  <c r="AG10" i="2"/>
  <c r="AG158" i="2"/>
  <c r="AG144" i="2"/>
  <c r="AG111" i="2"/>
  <c r="AG85" i="2"/>
  <c r="AG69" i="2"/>
  <c r="AG47" i="2"/>
  <c r="AG43" i="2"/>
  <c r="AG141" i="2"/>
  <c r="AG123" i="2"/>
  <c r="AG108" i="2"/>
  <c r="AG44" i="2"/>
  <c r="AG19" i="2"/>
  <c r="AG4" i="2"/>
  <c r="AG3" i="3"/>
  <c r="AG3" i="2" s="1"/>
  <c r="AG139" i="2"/>
  <c r="AG126" i="3"/>
  <c r="AG126" i="2" s="1"/>
  <c r="AG127" i="2"/>
  <c r="AG81" i="2"/>
  <c r="AG67" i="2"/>
  <c r="AG56" i="2"/>
  <c r="AG49" i="2"/>
  <c r="AG32" i="2"/>
  <c r="AG24" i="3"/>
  <c r="AG24" i="2" s="1"/>
  <c r="AG25" i="2"/>
  <c r="AG16" i="2"/>
  <c r="AG132" i="2"/>
  <c r="AG79" i="2"/>
  <c r="AG30" i="2"/>
  <c r="AG52" i="2"/>
  <c r="AG5" i="2"/>
  <c r="AG106" i="2"/>
  <c r="AG95" i="2"/>
  <c r="AG87" i="2"/>
  <c r="AG51" i="2"/>
  <c r="AG38" i="2"/>
  <c r="AG161" i="2"/>
  <c r="AG151" i="2"/>
  <c r="AG140" i="2"/>
  <c r="AG135" i="2"/>
  <c r="AG62" i="2"/>
  <c r="AG48" i="2"/>
  <c r="AG37" i="2"/>
  <c r="AG27" i="2"/>
  <c r="AG100" i="2"/>
  <c r="AG34" i="2"/>
  <c r="AG12" i="2"/>
  <c r="AG35" i="2"/>
  <c r="AG7" i="2"/>
  <c r="AG90" i="2"/>
  <c r="AG107" i="2"/>
  <c r="AG112" i="2"/>
  <c r="AG86" i="2"/>
  <c r="AG133" i="2"/>
  <c r="AG122" i="2"/>
  <c r="AG22" i="2"/>
  <c r="AG65" i="2"/>
  <c r="AG40" i="2"/>
  <c r="AG17" i="2"/>
  <c r="AG165" i="2"/>
  <c r="AG115" i="2"/>
  <c r="AG96" i="2"/>
  <c r="AG74" i="2"/>
  <c r="AG147" i="2"/>
  <c r="AG77" i="2"/>
  <c r="AG18" i="2"/>
  <c r="AG61" i="2"/>
  <c r="AG60" i="3"/>
  <c r="AG60" i="2" s="1"/>
  <c r="AG8" i="2"/>
  <c r="AG75" i="2"/>
  <c r="AG129" i="2"/>
  <c r="AG154" i="2"/>
  <c r="AG94" i="2"/>
  <c r="AG78" i="2"/>
  <c r="AG70" i="2"/>
  <c r="AG53" i="2"/>
  <c r="AG26" i="2"/>
  <c r="AG11" i="2"/>
  <c r="AG102" i="2"/>
  <c r="AG9" i="2"/>
  <c r="AG148" i="3"/>
  <c r="AG148" i="2" s="1"/>
  <c r="AG149" i="2"/>
  <c r="AG128" i="2"/>
  <c r="AG55" i="2"/>
  <c r="AG66" i="2"/>
  <c r="AG29" i="2"/>
  <c r="AG21" i="2"/>
  <c r="AG36" i="2"/>
  <c r="AG15" i="2"/>
  <c r="AG82" i="3"/>
  <c r="AG82" i="2" s="1"/>
  <c r="AG83" i="2"/>
  <c r="AG57" i="2"/>
  <c r="AG31" i="2"/>
  <c r="AG14" i="2"/>
  <c r="AG150" i="2"/>
  <c r="AG39" i="2"/>
  <c r="AG73" i="2"/>
  <c r="AG64" i="2"/>
  <c r="AG103" i="2"/>
  <c r="AG71" i="2"/>
  <c r="AG23" i="2"/>
  <c r="AG134" i="2"/>
  <c r="AG164" i="2"/>
  <c r="AG93" i="2"/>
  <c r="AG41" i="2"/>
  <c r="I168" i="2"/>
  <c r="I164" i="2"/>
  <c r="I122" i="2"/>
  <c r="I118" i="2"/>
  <c r="I114" i="2"/>
  <c r="I110" i="2"/>
  <c r="I106" i="2"/>
  <c r="I152" i="2"/>
  <c r="I138" i="2"/>
  <c r="I133" i="2"/>
  <c r="I128" i="2"/>
  <c r="I161" i="2"/>
  <c r="I154" i="2"/>
  <c r="I143" i="2"/>
  <c r="I124" i="2"/>
  <c r="I119" i="2"/>
  <c r="I109" i="2"/>
  <c r="I145" i="2"/>
  <c r="I131" i="2"/>
  <c r="I121" i="2"/>
  <c r="I150" i="2"/>
  <c r="I100" i="2"/>
  <c r="I90" i="2"/>
  <c r="I85" i="2"/>
  <c r="I169" i="2"/>
  <c r="I163" i="2"/>
  <c r="I158" i="2"/>
  <c r="I140" i="2"/>
  <c r="I123" i="2"/>
  <c r="I116" i="2"/>
  <c r="I89" i="2"/>
  <c r="I80" i="2"/>
  <c r="I72" i="2"/>
  <c r="I8" i="2"/>
  <c r="I155" i="2"/>
  <c r="I132" i="2"/>
  <c r="I21" i="2"/>
  <c r="I108" i="2"/>
  <c r="I92" i="2"/>
  <c r="I42" i="2"/>
  <c r="I38" i="2"/>
  <c r="I34" i="2"/>
  <c r="I30" i="2"/>
  <c r="I26" i="2"/>
  <c r="I14" i="2"/>
  <c r="I113" i="2"/>
  <c r="I76" i="2"/>
  <c r="I57" i="2"/>
  <c r="I52" i="2"/>
  <c r="I23" i="2"/>
  <c r="I13" i="2"/>
  <c r="I167" i="2"/>
  <c r="I160" i="2"/>
  <c r="I146" i="2"/>
  <c r="I139" i="2"/>
  <c r="I93" i="2"/>
  <c r="I68" i="2"/>
  <c r="I153" i="2"/>
  <c r="I33" i="2"/>
  <c r="I28" i="2"/>
  <c r="I20" i="2"/>
  <c r="I10" i="2"/>
  <c r="I142" i="2"/>
  <c r="I88" i="2"/>
  <c r="I4" i="2"/>
  <c r="I3" i="3"/>
  <c r="I3" i="2" s="1"/>
  <c r="I112" i="2"/>
  <c r="I97" i="2"/>
  <c r="I78" i="2"/>
  <c r="I39" i="2"/>
  <c r="I22" i="2"/>
  <c r="I107" i="2"/>
  <c r="I99" i="2"/>
  <c r="I91" i="2"/>
  <c r="I64" i="2"/>
  <c r="I58" i="2"/>
  <c r="I27" i="2"/>
  <c r="I84" i="2"/>
  <c r="I61" i="2"/>
  <c r="I60" i="3"/>
  <c r="I60" i="2" s="1"/>
  <c r="I16" i="2"/>
  <c r="I9" i="2"/>
  <c r="I165" i="2"/>
  <c r="I148" i="3"/>
  <c r="I148" i="2" s="1"/>
  <c r="I149" i="2"/>
  <c r="I77" i="2"/>
  <c r="I47" i="2"/>
  <c r="I45" i="3"/>
  <c r="I45" i="2" s="1"/>
  <c r="I46" i="2"/>
  <c r="I166" i="2"/>
  <c r="I136" i="2"/>
  <c r="I103" i="2"/>
  <c r="I74" i="2"/>
  <c r="I71" i="2"/>
  <c r="I24" i="3"/>
  <c r="I24" i="2" s="1"/>
  <c r="I25" i="2"/>
  <c r="I15" i="2"/>
  <c r="I151" i="2"/>
  <c r="I87" i="2"/>
  <c r="I37" i="2"/>
  <c r="I162" i="2"/>
  <c r="I111" i="2"/>
  <c r="I73" i="2"/>
  <c r="I65" i="2"/>
  <c r="I147" i="2"/>
  <c r="I130" i="2"/>
  <c r="I129" i="2"/>
  <c r="I70" i="2"/>
  <c r="I48" i="2"/>
  <c r="I32" i="2"/>
  <c r="I159" i="2"/>
  <c r="I81" i="2"/>
  <c r="I49" i="2"/>
  <c r="I125" i="2"/>
  <c r="I126" i="3"/>
  <c r="I126" i="2" s="1"/>
  <c r="I127" i="2"/>
  <c r="I55" i="2"/>
  <c r="I95" i="2"/>
  <c r="I51" i="2"/>
  <c r="I75" i="2"/>
  <c r="I120" i="2"/>
  <c r="I31" i="2"/>
  <c r="I66" i="2"/>
  <c r="I12" i="2"/>
  <c r="I6" i="2"/>
  <c r="I134" i="2"/>
  <c r="I102" i="2"/>
  <c r="I40" i="2"/>
  <c r="I98" i="2"/>
  <c r="I79" i="2"/>
  <c r="I44" i="2"/>
  <c r="I56" i="2"/>
  <c r="I54" i="2"/>
  <c r="I35" i="2"/>
  <c r="I19" i="2"/>
  <c r="I156" i="2"/>
  <c r="I7" i="2"/>
  <c r="I101" i="2"/>
  <c r="I63" i="2"/>
  <c r="I135" i="2"/>
  <c r="I96" i="2"/>
  <c r="I82" i="3"/>
  <c r="I82" i="2" s="1"/>
  <c r="I83" i="2"/>
  <c r="I41" i="2"/>
  <c r="I117" i="2"/>
  <c r="I94" i="2"/>
  <c r="I86" i="2"/>
  <c r="I50" i="2"/>
  <c r="I11" i="2"/>
  <c r="I157" i="2"/>
  <c r="I36" i="2"/>
  <c r="I144" i="2"/>
  <c r="I62" i="2"/>
  <c r="I5" i="2"/>
  <c r="I104" i="3"/>
  <c r="I104" i="2" s="1"/>
  <c r="I105" i="2"/>
  <c r="I29" i="2"/>
  <c r="I67" i="2"/>
  <c r="I17" i="2"/>
  <c r="I137" i="2"/>
  <c r="I69" i="2"/>
  <c r="I18" i="2"/>
  <c r="I53" i="2"/>
  <c r="I115" i="2"/>
  <c r="I141" i="2"/>
  <c r="I43" i="2"/>
  <c r="AC163" i="2"/>
  <c r="AC158" i="2"/>
  <c r="AC167" i="2"/>
  <c r="AC162" i="2"/>
  <c r="AC160" i="2"/>
  <c r="AC151" i="2"/>
  <c r="AC122" i="2"/>
  <c r="AC118" i="2"/>
  <c r="AC114" i="2"/>
  <c r="AC110" i="2"/>
  <c r="AC106" i="2"/>
  <c r="AC157" i="2"/>
  <c r="AC155" i="2"/>
  <c r="AC150" i="2"/>
  <c r="AC166" i="2"/>
  <c r="AC147" i="2"/>
  <c r="AC126" i="3"/>
  <c r="AC126" i="2" s="1"/>
  <c r="AC127" i="2"/>
  <c r="AC123" i="2"/>
  <c r="AC113" i="2"/>
  <c r="AC108" i="2"/>
  <c r="AC165" i="2"/>
  <c r="AC156" i="2"/>
  <c r="AC152" i="2"/>
  <c r="AC141" i="2"/>
  <c r="AC119" i="2"/>
  <c r="AC112" i="2"/>
  <c r="AC101" i="2"/>
  <c r="AC91" i="2"/>
  <c r="AC85" i="2"/>
  <c r="AC154" i="2"/>
  <c r="AC143" i="2"/>
  <c r="AC138" i="2"/>
  <c r="AC136" i="2"/>
  <c r="AC107" i="2"/>
  <c r="AC100" i="2"/>
  <c r="AC90" i="2"/>
  <c r="AC137" i="2"/>
  <c r="AC124" i="2"/>
  <c r="AC103" i="2"/>
  <c r="AC73" i="2"/>
  <c r="AC8" i="2"/>
  <c r="AC148" i="3"/>
  <c r="AC148" i="2" s="1"/>
  <c r="AC149" i="2"/>
  <c r="AC84" i="2"/>
  <c r="AC72" i="2"/>
  <c r="AC21" i="2"/>
  <c r="AC146" i="2"/>
  <c r="AC145" i="2"/>
  <c r="AC95" i="2"/>
  <c r="AC42" i="2"/>
  <c r="AC38" i="2"/>
  <c r="AC34" i="2"/>
  <c r="AC30" i="2"/>
  <c r="AC26" i="2"/>
  <c r="AC14" i="2"/>
  <c r="AC135" i="2"/>
  <c r="AC9" i="2"/>
  <c r="AC130" i="2"/>
  <c r="AC83" i="2"/>
  <c r="AC82" i="3"/>
  <c r="AC82" i="2" s="1"/>
  <c r="AC37" i="2"/>
  <c r="AC32" i="2"/>
  <c r="AC16" i="2"/>
  <c r="AC142" i="2"/>
  <c r="AC94" i="2"/>
  <c r="AC63" i="2"/>
  <c r="AC51" i="2"/>
  <c r="AC27" i="2"/>
  <c r="AC120" i="2"/>
  <c r="AC80" i="2"/>
  <c r="AC10" i="2"/>
  <c r="AC115" i="2"/>
  <c r="AC13" i="2"/>
  <c r="AC6" i="2"/>
  <c r="AC129" i="2"/>
  <c r="AC67" i="2"/>
  <c r="AC47" i="2"/>
  <c r="AC35" i="2"/>
  <c r="AC164" i="2"/>
  <c r="AC116" i="2"/>
  <c r="AC86" i="2"/>
  <c r="AC81" i="2"/>
  <c r="AC66" i="2"/>
  <c r="AC53" i="2"/>
  <c r="AC31" i="2"/>
  <c r="AC65" i="2"/>
  <c r="AC55" i="2"/>
  <c r="AC52" i="2"/>
  <c r="AC40" i="2"/>
  <c r="AC132" i="2"/>
  <c r="AC111" i="2"/>
  <c r="AC98" i="2"/>
  <c r="AC39" i="2"/>
  <c r="AC161" i="2"/>
  <c r="AC134" i="2"/>
  <c r="AC76" i="2"/>
  <c r="AC29" i="2"/>
  <c r="AC5" i="2"/>
  <c r="AC102" i="2"/>
  <c r="AC60" i="3"/>
  <c r="AC60" i="2" s="1"/>
  <c r="AC61" i="2"/>
  <c r="AC20" i="2"/>
  <c r="AC117" i="2"/>
  <c r="AC56" i="2"/>
  <c r="AC41" i="2"/>
  <c r="AC15" i="2"/>
  <c r="AC48" i="2"/>
  <c r="AC18" i="2"/>
  <c r="AC93" i="2"/>
  <c r="AC44" i="2"/>
  <c r="AC69" i="2"/>
  <c r="AC50" i="2"/>
  <c r="AC139" i="2"/>
  <c r="AC22" i="2"/>
  <c r="AC131" i="2"/>
  <c r="AC97" i="2"/>
  <c r="AC79" i="2"/>
  <c r="AC54" i="2"/>
  <c r="AC46" i="2"/>
  <c r="AC45" i="3"/>
  <c r="AC45" i="2" s="1"/>
  <c r="AC36" i="2"/>
  <c r="AC11" i="2"/>
  <c r="AC144" i="2"/>
  <c r="AC19" i="2"/>
  <c r="AC128" i="2"/>
  <c r="AC62" i="2"/>
  <c r="AC77" i="2"/>
  <c r="AC169" i="2"/>
  <c r="AC140" i="2"/>
  <c r="AC168" i="2"/>
  <c r="AC99" i="2"/>
  <c r="AC49" i="2"/>
  <c r="AC87" i="2"/>
  <c r="AC43" i="2"/>
  <c r="AC133" i="2"/>
  <c r="AC104" i="3"/>
  <c r="AC104" i="2" s="1"/>
  <c r="AC105" i="2"/>
  <c r="AC25" i="2"/>
  <c r="AC24" i="3"/>
  <c r="AC24" i="2" s="1"/>
  <c r="AC78" i="2"/>
  <c r="AC17" i="2"/>
  <c r="AC70" i="2"/>
  <c r="AC109" i="2"/>
  <c r="AC3" i="3"/>
  <c r="AC3" i="2" s="1"/>
  <c r="AC4" i="2"/>
  <c r="AC68" i="2"/>
  <c r="AC75" i="2"/>
  <c r="AC71" i="2"/>
  <c r="AC23" i="2"/>
  <c r="AC58" i="2"/>
  <c r="AC88" i="2"/>
  <c r="AC33" i="2"/>
  <c r="AC153" i="2"/>
  <c r="AC121" i="2"/>
  <c r="AC89" i="2"/>
  <c r="AC7" i="2"/>
  <c r="AC125" i="2"/>
  <c r="AC57" i="2"/>
  <c r="AC12" i="2"/>
  <c r="AC28" i="2"/>
  <c r="AC74" i="2"/>
  <c r="AC64" i="2"/>
  <c r="AC92" i="2"/>
  <c r="AC159" i="2"/>
  <c r="AC96" i="2"/>
  <c r="L2" i="2"/>
  <c r="BI2" i="2"/>
  <c r="P2" i="2"/>
  <c r="AT2" i="2"/>
  <c r="BM2" i="2"/>
  <c r="AM2" i="2"/>
  <c r="AF2" i="2"/>
  <c r="R2" i="2"/>
  <c r="BF2" i="2"/>
  <c r="AU2" i="2"/>
  <c r="O2" i="2"/>
  <c r="BA2" i="2"/>
  <c r="V2" i="2"/>
  <c r="BJ2" i="2"/>
  <c r="T2" i="2"/>
  <c r="BG2" i="2"/>
  <c r="W2" i="2"/>
  <c r="BH2" i="2"/>
  <c r="AQ2" i="2"/>
  <c r="AL2" i="2"/>
  <c r="AK2" i="2"/>
  <c r="BB2" i="2"/>
  <c r="AP2" i="2"/>
  <c r="AE2" i="2"/>
  <c r="K2" i="2"/>
  <c r="S2" i="2"/>
  <c r="BK2" i="2"/>
  <c r="M2" i="2"/>
  <c r="AA2" i="2"/>
  <c r="AS2" i="2"/>
  <c r="N2" i="2"/>
  <c r="BC2" i="2"/>
  <c r="BE2" i="2"/>
  <c r="AB2" i="2"/>
  <c r="AY2" i="2"/>
  <c r="AO2" i="2"/>
  <c r="J2" i="2"/>
  <c r="AJ2" i="2"/>
  <c r="AR2" i="2"/>
  <c r="AH2" i="2"/>
  <c r="U2" i="2"/>
  <c r="H2" i="2"/>
  <c r="BD2" i="2"/>
  <c r="Z2" i="2"/>
  <c r="Q2" i="2"/>
  <c r="X2" i="2"/>
  <c r="AD2" i="2"/>
  <c r="BL2" i="2"/>
  <c r="AW2" i="2"/>
  <c r="AI2" i="2"/>
  <c r="G2" i="2"/>
  <c r="Y2" i="2"/>
  <c r="AX2" i="2"/>
  <c r="AZ2" i="2"/>
  <c r="AN2" i="2"/>
  <c r="F2" i="2"/>
  <c r="AV2" i="2"/>
  <c r="AG2" i="2"/>
  <c r="I2" i="2"/>
  <c r="AC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<sst xmlns="http://schemas.openxmlformats.org/spreadsheetml/2006/main" count="29" uniqueCount="28">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</sst>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/>
    <xf numFmtId="0" fontId="17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69"/>
  <sheetViews>
    <sheetView tabSelected="1" topLeftCell="A148" workbookViewId="0">
      <selection activeCell="B158" sqref="B158"/>
    </sheetView>
  </sheetViews>
  <sheetFormatPr defaultRowHeight="15"/>
  <cols>
    <col min="1" max="1" width="56.28515625" customWidth="1"/>
    <col min="2" max="2" width="15.85546875" customWidth="1"/>
    <col min="3" max="65" width="9.140625" bestFit="1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2024 Q4</v>
      </c>
      <c r="G2" t="str">
        <f>IFERROR(IF(0=LEN(ReferenceData!$G$2),"",ReferenceData!$G$2),"")</f>
        <v>2024 Q3</v>
      </c>
      <c r="H2" t="str">
        <f>IFERROR(IF(0=LEN(ReferenceData!$H$2),"",ReferenceData!$H$2),"")</f>
        <v>2024 Q2</v>
      </c>
      <c r="I2" t="str">
        <f>IFERROR(IF(0=LEN(ReferenceData!$I$2),"",ReferenceData!$I$2),"")</f>
        <v>2024 Q1</v>
      </c>
      <c r="J2" t="str">
        <f>IFERROR(IF(0=LEN(ReferenceData!$J$2),"",ReferenceData!$J$2),"")</f>
        <v>2023 Q4</v>
      </c>
      <c r="K2" t="str">
        <f>IFERROR(IF(0=LEN(ReferenceData!$K$2),"",ReferenceData!$K$2),"")</f>
        <v>2023 Q3</v>
      </c>
      <c r="L2" t="str">
        <f>IFERROR(IF(0=LEN(ReferenceData!$L$2),"",ReferenceData!$L$2),"")</f>
        <v>2023 Q2</v>
      </c>
      <c r="M2" t="str">
        <f>IFERROR(IF(0=LEN(ReferenceData!$M$2),"",ReferenceData!$M$2),"")</f>
        <v>2023 Q1</v>
      </c>
      <c r="N2" t="str">
        <f>IFERROR(IF(0=LEN(ReferenceData!$N$2),"",ReferenceData!$N$2),"")</f>
        <v>2022 Q4</v>
      </c>
      <c r="O2" t="str">
        <f>IFERROR(IF(0=LEN(ReferenceData!$O$2),"",ReferenceData!$O$2),"")</f>
        <v>2022 Q3</v>
      </c>
      <c r="P2" t="str">
        <f>IFERROR(IF(0=LEN(ReferenceData!$P$2),"",ReferenceData!$P$2),"")</f>
        <v>2022 Q2</v>
      </c>
      <c r="Q2" t="str">
        <f>IFERROR(IF(0=LEN(ReferenceData!$Q$2),"",ReferenceData!$Q$2),"")</f>
        <v>2022 Q1</v>
      </c>
      <c r="R2" t="str">
        <f>IFERROR(IF(0=LEN(ReferenceData!$R$2),"",ReferenceData!$R$2),"")</f>
        <v>2021 Q4</v>
      </c>
      <c r="S2" t="str">
        <f>IFERROR(IF(0=LEN(ReferenceData!$S$2),"",ReferenceData!$S$2),"")</f>
        <v>2021 Q3</v>
      </c>
      <c r="T2" t="str">
        <f>IFERROR(IF(0=LEN(ReferenceData!$T$2),"",ReferenceData!$T$2),"")</f>
        <v>2021 Q2</v>
      </c>
      <c r="U2" t="str">
        <f>IFERROR(IF(0=LEN(ReferenceData!$U$2),"",ReferenceData!$U$2),"")</f>
        <v>2021 Q1</v>
      </c>
      <c r="V2" t="str">
        <f>IFERROR(IF(0=LEN(ReferenceData!$V$2),"",ReferenceData!$V$2),"")</f>
        <v>2020 Q4</v>
      </c>
      <c r="W2" t="str">
        <f>IFERROR(IF(0=LEN(ReferenceData!$W$2),"",ReferenceData!$W$2),"")</f>
        <v>2020 Q3</v>
      </c>
      <c r="X2" t="str">
        <f>IFERROR(IF(0=LEN(ReferenceData!$X$2),"",ReferenceData!$X$2),"")</f>
        <v>2020 Q2</v>
      </c>
      <c r="Y2" t="str">
        <f>IFERROR(IF(0=LEN(ReferenceData!$Y$2),"",ReferenceData!$Y$2),"")</f>
        <v>2020 Q1</v>
      </c>
      <c r="Z2" t="str">
        <f>IFERROR(IF(0=LEN(ReferenceData!$Z$2),"",ReferenceData!$Z$2),"")</f>
        <v>2019 Q4</v>
      </c>
      <c r="AA2" t="str">
        <f>IFERROR(IF(0=LEN(ReferenceData!$AA$2),"",ReferenceData!$AA$2),"")</f>
        <v>2019 Q3</v>
      </c>
      <c r="AB2" t="str">
        <f>IFERROR(IF(0=LEN(ReferenceData!$AB$2),"",ReferenceData!$AB$2),"")</f>
        <v>2019 Q2</v>
      </c>
      <c r="AC2" t="str">
        <f>IFERROR(IF(0=LEN(ReferenceData!$AC$2),"",ReferenceData!$AC$2),"")</f>
        <v>2019 Q1</v>
      </c>
      <c r="AD2" t="str">
        <f>IFERROR(IF(0=LEN(ReferenceData!$AD$2),"",ReferenceData!$AD$2),"")</f>
        <v>2018 Q4</v>
      </c>
      <c r="AE2" t="str">
        <f>IFERROR(IF(0=LEN(ReferenceData!$AE$2),"",ReferenceData!$AE$2),"")</f>
        <v>2018 Q3</v>
      </c>
      <c r="AF2" t="str">
        <f>IFERROR(IF(0=LEN(ReferenceData!$AF$2),"",ReferenceData!$AF$2),"")</f>
        <v>2018 Q2</v>
      </c>
      <c r="AG2" t="str">
        <f>IFERROR(IF(0=LEN(ReferenceData!$AG$2),"",ReferenceData!$AG$2),"")</f>
        <v>2018 Q1</v>
      </c>
      <c r="AH2" t="str">
        <f>IFERROR(IF(0=LEN(ReferenceData!$AH$2),"",ReferenceData!$AH$2),"")</f>
        <v>2017 Q4</v>
      </c>
      <c r="AI2" t="str">
        <f>IFERROR(IF(0=LEN(ReferenceData!$AI$2),"",ReferenceData!$AI$2),"")</f>
        <v>2017 Q3</v>
      </c>
      <c r="AJ2" t="str">
        <f>IFERROR(IF(0=LEN(ReferenceData!$AJ$2),"",ReferenceData!$AJ$2),"")</f>
        <v>2017 Q2</v>
      </c>
      <c r="AK2" t="str">
        <f>IFERROR(IF(0=LEN(ReferenceData!$AK$2),"",ReferenceData!$AK$2),"")</f>
        <v>2017 Q1</v>
      </c>
      <c r="AL2" t="str">
        <f>IFERROR(IF(0=LEN(ReferenceData!$AL$2),"",ReferenceData!$AL$2),"")</f>
        <v>2016 Q4</v>
      </c>
      <c r="AM2" t="str">
        <f>IFERROR(IF(0=LEN(ReferenceData!$AM$2),"",ReferenceData!$AM$2),"")</f>
        <v>2016 Q3</v>
      </c>
      <c r="AN2" t="str">
        <f>IFERROR(IF(0=LEN(ReferenceData!$AN$2),"",ReferenceData!$AN$2),"")</f>
        <v>2016 Q2</v>
      </c>
      <c r="AO2" t="str">
        <f>IFERROR(IF(0=LEN(ReferenceData!$AO$2),"",ReferenceData!$AO$2),"")</f>
        <v>2016 Q1</v>
      </c>
      <c r="AP2" t="str">
        <f>IFERROR(IF(0=LEN(ReferenceData!$AP$2),"",ReferenceData!$AP$2),"")</f>
        <v>2015 Q4</v>
      </c>
      <c r="AQ2" t="str">
        <f>IFERROR(IF(0=LEN(ReferenceData!$AQ$2),"",ReferenceData!$AQ$2),"")</f>
        <v>2015 Q3</v>
      </c>
      <c r="AR2" t="str">
        <f>IFERROR(IF(0=LEN(ReferenceData!$AR$2),"",ReferenceData!$AR$2),"")</f>
        <v>2015 Q2</v>
      </c>
      <c r="AS2" t="str">
        <f>IFERROR(IF(0=LEN(ReferenceData!$AS$2),"",ReferenceData!$AS$2),"")</f>
        <v>2015 Q1</v>
      </c>
      <c r="AT2" t="str">
        <f>IFERROR(IF(0=LEN(ReferenceData!$AT$2),"",ReferenceData!$AT$2),"")</f>
        <v>2014 Q4</v>
      </c>
      <c r="AU2" t="str">
        <f>IFERROR(IF(0=LEN(ReferenceData!$AU$2),"",ReferenceData!$AU$2),"")</f>
        <v>2014 Q3</v>
      </c>
      <c r="AV2" t="str">
        <f>IFERROR(IF(0=LEN(ReferenceData!$AV$2),"",ReferenceData!$AV$2),"")</f>
        <v>2014 Q2</v>
      </c>
      <c r="AW2" t="str">
        <f>IFERROR(IF(0=LEN(ReferenceData!$AW$2),"",ReferenceData!$AW$2),"")</f>
        <v>2014 Q1</v>
      </c>
      <c r="AX2" t="str">
        <f>IFERROR(IF(0=LEN(ReferenceData!$AX$2),"",ReferenceData!$AX$2),"")</f>
        <v>2013 Q4</v>
      </c>
      <c r="AY2" t="str">
        <f>IFERROR(IF(0=LEN(ReferenceData!$AY$2),"",ReferenceData!$AY$2),"")</f>
        <v>2013 Q3</v>
      </c>
      <c r="AZ2" t="str">
        <f>IFERROR(IF(0=LEN(ReferenceData!$AZ$2),"",ReferenceData!$AZ$2),"")</f>
        <v>2013 Q2</v>
      </c>
      <c r="BA2" t="str">
        <f>IFERROR(IF(0=LEN(ReferenceData!$BA$2),"",ReferenceData!$BA$2),"")</f>
        <v>2013 Q1</v>
      </c>
      <c r="BB2" t="str">
        <f>IFERROR(IF(0=LEN(ReferenceData!$BB$2),"",ReferenceData!$BB$2),"")</f>
        <v>2012 Q4</v>
      </c>
      <c r="BC2" t="str">
        <f>IFERROR(IF(0=LEN(ReferenceData!$BC$2),"",ReferenceData!$BC$2),"")</f>
        <v>2012 Q3</v>
      </c>
      <c r="BD2" t="str">
        <f>IFERROR(IF(0=LEN(ReferenceData!$BD$2),"",ReferenceData!$BD$2),"")</f>
        <v>2012 Q2</v>
      </c>
      <c r="BE2" t="str">
        <f>IFERROR(IF(0=LEN(ReferenceData!$BE$2),"",ReferenceData!$BE$2),"")</f>
        <v>2012 Q1</v>
      </c>
      <c r="BF2" t="str">
        <f>IFERROR(IF(0=LEN(ReferenceData!$BF$2),"",ReferenceData!$BF$2),"")</f>
        <v>2011 Q4</v>
      </c>
      <c r="BG2" t="str">
        <f>IFERROR(IF(0=LEN(ReferenceData!$BG$2),"",ReferenceData!$BG$2),"")</f>
        <v>2011 Q3</v>
      </c>
      <c r="BH2" t="str">
        <f>IFERROR(IF(0=LEN(ReferenceData!$BH$2),"",ReferenceData!$BH$2),"")</f>
        <v>2011 Q2</v>
      </c>
      <c r="BI2" t="str">
        <f>IFERROR(IF(0=LEN(ReferenceData!$BI$2),"",ReferenceData!$BI$2),"")</f>
        <v>2011 Q1</v>
      </c>
      <c r="BJ2" t="str">
        <f>IFERROR(IF(0=LEN(ReferenceData!$BJ$2),"",ReferenceData!$BJ$2),"")</f>
        <v>2010 Q4</v>
      </c>
      <c r="BK2" t="str">
        <f>IFERROR(IF(0=LEN(ReferenceData!$BK$2),"",ReferenceData!$BK$2),"")</f>
        <v>2010 Q3</v>
      </c>
      <c r="BL2" t="str">
        <f>IFERROR(IF(0=LEN(ReferenceData!$BL$2),"",ReferenceData!$BL$2),"")</f>
        <v>2010 Q2</v>
      </c>
      <c r="BM2" t="str">
        <f>IFERROR(IF(0=LEN(ReferenceData!$BM$2),"",ReferenceData!$BM$2),"")</f>
        <v>2010 Q1</v>
      </c>
    </row>
    <row r="3" spans="1:65">
      <c r="A3" s="2" t="str">
        <f>IFERROR(IF(0=LEN(ReferenceData!$A$3),"",ReferenceData!$A$3),"")</f>
        <v>Mortgage Banking Revenue % Total Revenue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Median</v>
      </c>
      <c r="F3" t="str">
        <f ca="1">IFERROR(IF(0=LEN(ReferenceData!$F$3),"",ReferenceData!$F$3),"")</f>
        <v/>
      </c>
      <c r="G3">
        <f ca="1">IFERROR(IF(0=LEN(ReferenceData!$G$3),"",ReferenceData!$G$3),"")</f>
        <v>2.1764828879999998</v>
      </c>
      <c r="H3">
        <f ca="1">IFERROR(IF(0=LEN(ReferenceData!$H$3),"",ReferenceData!$H$3),"")</f>
        <v>2.1828597685000002</v>
      </c>
      <c r="I3">
        <f ca="1">IFERROR(IF(0=LEN(ReferenceData!$I$3),"",ReferenceData!$I$3),"")</f>
        <v>2.4150258225000001</v>
      </c>
      <c r="J3">
        <f ca="1">IFERROR(IF(0=LEN(ReferenceData!$J$3),"",ReferenceData!$J$3),"")</f>
        <v>1.9254403929999999</v>
      </c>
      <c r="K3">
        <f ca="1">IFERROR(IF(0=LEN(ReferenceData!$K$3),"",ReferenceData!$K$3),"")</f>
        <v>1.9277251660000001</v>
      </c>
      <c r="L3">
        <f ca="1">IFERROR(IF(0=LEN(ReferenceData!$L$3),"",ReferenceData!$L$3),"")</f>
        <v>1.8429894739999999</v>
      </c>
      <c r="M3">
        <f ca="1">IFERROR(IF(0=LEN(ReferenceData!$M$3),"",ReferenceData!$M$3),"")</f>
        <v>1.57296389</v>
      </c>
      <c r="N3">
        <f ca="1">IFERROR(IF(0=LEN(ReferenceData!$N$3),"",ReferenceData!$N$3),"")</f>
        <v>1.4581369529999999</v>
      </c>
      <c r="O3">
        <f ca="1">IFERROR(IF(0=LEN(ReferenceData!$O$3),"",ReferenceData!$O$3),"")</f>
        <v>1.705069124</v>
      </c>
      <c r="P3">
        <f ca="1">IFERROR(IF(0=LEN(ReferenceData!$P$3),"",ReferenceData!$P$3),"")</f>
        <v>2.3733912749999999</v>
      </c>
      <c r="Q3">
        <f ca="1">IFERROR(IF(0=LEN(ReferenceData!$Q$3),"",ReferenceData!$Q$3),"")</f>
        <v>3.0018761729999999</v>
      </c>
      <c r="R3">
        <f ca="1">IFERROR(IF(0=LEN(ReferenceData!$R$3),"",ReferenceData!$R$3),"")</f>
        <v>3.703703704</v>
      </c>
      <c r="S3">
        <f ca="1">IFERROR(IF(0=LEN(ReferenceData!$S$3),"",ReferenceData!$S$3),"")</f>
        <v>4.7719838369999996</v>
      </c>
      <c r="T3">
        <f ca="1">IFERROR(IF(0=LEN(ReferenceData!$T$3),"",ReferenceData!$T$3),"")</f>
        <v>4.4139704310000001</v>
      </c>
      <c r="U3">
        <f ca="1">IFERROR(IF(0=LEN(ReferenceData!$U$3),"",ReferenceData!$U$3),"")</f>
        <v>5.4922850839999997</v>
      </c>
      <c r="V3">
        <f ca="1">IFERROR(IF(0=LEN(ReferenceData!$V$3),"",ReferenceData!$V$3),"")</f>
        <v>3.0502392340000002</v>
      </c>
      <c r="W3">
        <f ca="1">IFERROR(IF(0=LEN(ReferenceData!$W$3),"",ReferenceData!$W$3),"")</f>
        <v>6.5733414489999999</v>
      </c>
      <c r="X3">
        <f ca="1">IFERROR(IF(0=LEN(ReferenceData!$X$3),"",ReferenceData!$X$3),"")</f>
        <v>5.3513513509999999</v>
      </c>
      <c r="Y3">
        <f ca="1">IFERROR(IF(0=LEN(ReferenceData!$Y$3),"",ReferenceData!$Y$3),"")</f>
        <v>4.8431734320000004</v>
      </c>
      <c r="Z3">
        <f ca="1">IFERROR(IF(0=LEN(ReferenceData!$Z$3),"",ReferenceData!$Z$3),"")</f>
        <v>3.3401499659999998</v>
      </c>
      <c r="AA3">
        <f ca="1">IFERROR(IF(0=LEN(ReferenceData!$AA$3),"",ReferenceData!$AA$3),"")</f>
        <v>3.7458193980000001</v>
      </c>
      <c r="AB3">
        <f ca="1">IFERROR(IF(0=LEN(ReferenceData!$AB$3),"",ReferenceData!$AB$3),"")</f>
        <v>2.9291160400000003</v>
      </c>
      <c r="AC3">
        <f ca="1">IFERROR(IF(0=LEN(ReferenceData!$AC$3),"",ReferenceData!$AC$3),"")</f>
        <v>1.850582591</v>
      </c>
      <c r="AD3">
        <f ca="1">IFERROR(IF(0=LEN(ReferenceData!$AD$3),"",ReferenceData!$AD$3),"")</f>
        <v>2.08913649</v>
      </c>
      <c r="AE3">
        <f ca="1">IFERROR(IF(0=LEN(ReferenceData!$AE$3),"",ReferenceData!$AE$3),"")</f>
        <v>2.7048609285</v>
      </c>
      <c r="AF3">
        <f ca="1">IFERROR(IF(0=LEN(ReferenceData!$AF$3),"",ReferenceData!$AF$3),"")</f>
        <v>2.5365090404999999</v>
      </c>
      <c r="AG3">
        <f ca="1">IFERROR(IF(0=LEN(ReferenceData!$AG$3),"",ReferenceData!$AG$3),"")</f>
        <v>2.5372901615000001</v>
      </c>
      <c r="AH3">
        <f ca="1">IFERROR(IF(0=LEN(ReferenceData!$AH$3),"",ReferenceData!$AH$3),"")</f>
        <v>2.9729729730000001</v>
      </c>
      <c r="AI3">
        <f ca="1">IFERROR(IF(0=LEN(ReferenceData!$AI$3),"",ReferenceData!$AI$3),"")</f>
        <v>2.5051734249999997</v>
      </c>
      <c r="AJ3">
        <f ca="1">IFERROR(IF(0=LEN(ReferenceData!$AJ$3),"",ReferenceData!$AJ$3),"")</f>
        <v>2.9530530504999999</v>
      </c>
      <c r="AK3">
        <f ca="1">IFERROR(IF(0=LEN(ReferenceData!$AK$3),"",ReferenceData!$AK$3),"")</f>
        <v>3.0688622749999999</v>
      </c>
      <c r="AL3">
        <f ca="1">IFERROR(IF(0=LEN(ReferenceData!$AL$3),"",ReferenceData!$AL$3),"")</f>
        <v>3.4981037634999996</v>
      </c>
      <c r="AM3">
        <f ca="1">IFERROR(IF(0=LEN(ReferenceData!$AM$3),"",ReferenceData!$AM$3),"")</f>
        <v>3.7779049800000002</v>
      </c>
      <c r="AN3">
        <f ca="1">IFERROR(IF(0=LEN(ReferenceData!$AN$3),"",ReferenceData!$AN$3),"")</f>
        <v>4.0407717510000003</v>
      </c>
      <c r="AO3">
        <f ca="1">IFERROR(IF(0=LEN(ReferenceData!$AO$3),"",ReferenceData!$AO$3),"")</f>
        <v>2.7777777779999999</v>
      </c>
      <c r="AP3">
        <f ca="1">IFERROR(IF(0=LEN(ReferenceData!$AP$3),"",ReferenceData!$AP$3),"")</f>
        <v>2.9327796519999998</v>
      </c>
      <c r="AQ3">
        <f ca="1">IFERROR(IF(0=LEN(ReferenceData!$AQ$3),"",ReferenceData!$AQ$3),"")</f>
        <v>2.9257314330000002</v>
      </c>
      <c r="AR3">
        <f ca="1">IFERROR(IF(0=LEN(ReferenceData!$AR$3),"",ReferenceData!$AR$3),"")</f>
        <v>4.6017556300000004</v>
      </c>
      <c r="AS3">
        <f ca="1">IFERROR(IF(0=LEN(ReferenceData!$AS$3),"",ReferenceData!$AS$3),"")</f>
        <v>4.3956043960000004</v>
      </c>
      <c r="AT3">
        <f ca="1">IFERROR(IF(0=LEN(ReferenceData!$AT$3),"",ReferenceData!$AT$3),"")</f>
        <v>3.758241758</v>
      </c>
      <c r="AU3">
        <f ca="1">IFERROR(IF(0=LEN(ReferenceData!$AU$3),"",ReferenceData!$AU$3),"")</f>
        <v>3.6903837510000002</v>
      </c>
      <c r="AV3">
        <f ca="1">IFERROR(IF(0=LEN(ReferenceData!$AV$3),"",ReferenceData!$AV$3),"")</f>
        <v>4.5497418810000001</v>
      </c>
      <c r="AW3">
        <f ca="1">IFERROR(IF(0=LEN(ReferenceData!$AW$3),"",ReferenceData!$AW$3),"")</f>
        <v>3.3657875979999998</v>
      </c>
      <c r="AX3">
        <f ca="1">IFERROR(IF(0=LEN(ReferenceData!$AX$3),"",ReferenceData!$AX$3),"")</f>
        <v>4.2607584149999997</v>
      </c>
      <c r="AY3">
        <f ca="1">IFERROR(IF(0=LEN(ReferenceData!$AY$3),"",ReferenceData!$AY$3),"")</f>
        <v>4.6977141949999996</v>
      </c>
      <c r="AZ3">
        <f ca="1">IFERROR(IF(0=LEN(ReferenceData!$AZ$3),"",ReferenceData!$AZ$3),"")</f>
        <v>6.695782865</v>
      </c>
      <c r="BA3">
        <f ca="1">IFERROR(IF(0=LEN(ReferenceData!$BA$3),"",ReferenceData!$BA$3),"")</f>
        <v>6.6464156240000003</v>
      </c>
      <c r="BB3">
        <f ca="1">IFERROR(IF(0=LEN(ReferenceData!$BB$3),"",ReferenceData!$BB$3),"")</f>
        <v>8.9291837469999997</v>
      </c>
      <c r="BC3">
        <f ca="1">IFERROR(IF(0=LEN(ReferenceData!$BC$3),"",ReferenceData!$BC$3),"")</f>
        <v>9.5444554030000006</v>
      </c>
      <c r="BD3">
        <f ca="1">IFERROR(IF(0=LEN(ReferenceData!$BD$3),"",ReferenceData!$BD$3),"")</f>
        <v>7.5238875239999992</v>
      </c>
      <c r="BE3">
        <f ca="1">IFERROR(IF(0=LEN(ReferenceData!$BE$3),"",ReferenceData!$BE$3),"")</f>
        <v>7.4755883005000001</v>
      </c>
      <c r="BF3">
        <f ca="1">IFERROR(IF(0=LEN(ReferenceData!$BF$3),"",ReferenceData!$BF$3),"")</f>
        <v>5.6866048859999996</v>
      </c>
      <c r="BG3">
        <f ca="1">IFERROR(IF(0=LEN(ReferenceData!$BG$3),"",ReferenceData!$BG$3),"")</f>
        <v>5.6830562679999996</v>
      </c>
      <c r="BH3">
        <f ca="1">IFERROR(IF(0=LEN(ReferenceData!$BH$3),"",ReferenceData!$BH$3),"")</f>
        <v>3.8766931339999999</v>
      </c>
      <c r="BI3">
        <f ca="1">IFERROR(IF(0=LEN(ReferenceData!$BI$3),"",ReferenceData!$BI$3),"")</f>
        <v>4.7523761880000004</v>
      </c>
      <c r="BJ3">
        <f ca="1">IFERROR(IF(0=LEN(ReferenceData!$BJ$3),"",ReferenceData!$BJ$3),"")</f>
        <v>6.0104529619999996</v>
      </c>
      <c r="BK3">
        <f ca="1">IFERROR(IF(0=LEN(ReferenceData!$BK$3),"",ReferenceData!$BK$3),"")</f>
        <v>7.1009936409999996</v>
      </c>
      <c r="BL3">
        <f ca="1">IFERROR(IF(0=LEN(ReferenceData!$BL$3),"",ReferenceData!$BL$3),"")</f>
        <v>5.4398925450000002</v>
      </c>
      <c r="BM3">
        <f ca="1">IFERROR(IF(0=LEN(ReferenceData!$BM$3),"",ReferenceData!$BM$3),"")</f>
        <v>3.1421992090000002</v>
      </c>
    </row>
    <row r="4" spans="1:65">
      <c r="A4" t="str">
        <f>IFERROR(IF(0=LEN(ReferenceData!$A$4),"",ReferenceData!$A$4),"")</f>
        <v xml:space="preserve">    Bank of America Corp</v>
      </c>
      <c r="B4" t="str">
        <f>IFERROR(IF(0=LEN(ReferenceData!$B$4),"",ReferenceData!$B$4),"")</f>
        <v>BAC US Equity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Expression</v>
      </c>
      <c r="F4" t="str">
        <f ca="1">IFERROR(IF(0=LEN(ReferenceData!$F$4),"",ReferenceData!$F$4),"")</f>
        <v/>
      </c>
      <c r="G4" t="str">
        <f ca="1">IFERROR(IF(0=LEN(ReferenceData!$G$4),"",ReferenceData!$G$4),"")</f>
        <v/>
      </c>
      <c r="H4" t="str">
        <f ca="1">IFERROR(IF(0=LEN(ReferenceData!$H$4),"",ReferenceData!$H$4),"")</f>
        <v/>
      </c>
      <c r="I4" t="str">
        <f ca="1">IFERROR(IF(0=LEN(ReferenceData!$I$4),"",ReferenceData!$I$4),"")</f>
        <v/>
      </c>
      <c r="J4" t="str">
        <f ca="1">IFERROR(IF(0=LEN(ReferenceData!$J$4),"",ReferenceData!$J$4),"")</f>
        <v/>
      </c>
      <c r="K4" t="str">
        <f ca="1">IFERROR(IF(0=LEN(ReferenceData!$K$4),"",ReferenceData!$K$4),"")</f>
        <v/>
      </c>
      <c r="L4" t="str">
        <f ca="1">IFERROR(IF(0=LEN(ReferenceData!$L$4),"",ReferenceData!$L$4),"")</f>
        <v/>
      </c>
      <c r="M4" t="str">
        <f ca="1">IFERROR(IF(0=LEN(ReferenceData!$M$4),"",ReferenceData!$M$4),"")</f>
        <v/>
      </c>
      <c r="N4" t="str">
        <f ca="1">IFERROR(IF(0=LEN(ReferenceData!$N$4),"",ReferenceData!$N$4),"")</f>
        <v/>
      </c>
      <c r="O4" t="str">
        <f ca="1">IFERROR(IF(0=LEN(ReferenceData!$O$4),"",ReferenceData!$O$4),"")</f>
        <v/>
      </c>
      <c r="P4" t="str">
        <f ca="1">IFERROR(IF(0=LEN(ReferenceData!$P$4),"",ReferenceData!$P$4),"")</f>
        <v/>
      </c>
      <c r="Q4" t="str">
        <f ca="1">IFERROR(IF(0=LEN(ReferenceData!$Q$4),"",ReferenceData!$Q$4),"")</f>
        <v/>
      </c>
      <c r="R4" t="str">
        <f ca="1">IFERROR(IF(0=LEN(ReferenceData!$R$4),"",ReferenceData!$R$4),"")</f>
        <v/>
      </c>
      <c r="S4" t="str">
        <f ca="1">IFERROR(IF(0=LEN(ReferenceData!$S$4),"",ReferenceData!$S$4),"")</f>
        <v/>
      </c>
      <c r="T4" t="str">
        <f ca="1">IFERROR(IF(0=LEN(ReferenceData!$T$4),"",ReferenceData!$T$4),"")</f>
        <v/>
      </c>
      <c r="U4" t="str">
        <f ca="1">IFERROR(IF(0=LEN(ReferenceData!$U$4),"",ReferenceData!$U$4),"")</f>
        <v/>
      </c>
      <c r="V4" t="str">
        <f ca="1">IFERROR(IF(0=LEN(ReferenceData!$V$4),"",ReferenceData!$V$4),"")</f>
        <v/>
      </c>
      <c r="W4" t="str">
        <f ca="1">IFERROR(IF(0=LEN(ReferenceData!$W$4),"",ReferenceData!$W$4),"")</f>
        <v/>
      </c>
      <c r="X4" t="str">
        <f ca="1">IFERROR(IF(0=LEN(ReferenceData!$X$4),"",ReferenceData!$X$4),"")</f>
        <v/>
      </c>
      <c r="Y4" t="str">
        <f ca="1">IFERROR(IF(0=LEN(ReferenceData!$Y$4),"",ReferenceData!$Y$4),"")</f>
        <v/>
      </c>
      <c r="Z4" t="str">
        <f ca="1">IFERROR(IF(0=LEN(ReferenceData!$Z$4),"",ReferenceData!$Z$4),"")</f>
        <v/>
      </c>
      <c r="AA4" t="str">
        <f ca="1">IFERROR(IF(0=LEN(ReferenceData!$AA$4),"",ReferenceData!$AA$4),"")</f>
        <v/>
      </c>
      <c r="AB4" t="str">
        <f ca="1">IFERROR(IF(0=LEN(ReferenceData!$AB$4),"",ReferenceData!$AB$4),"")</f>
        <v/>
      </c>
      <c r="AC4" t="str">
        <f ca="1">IFERROR(IF(0=LEN(ReferenceData!$AC$4),"",ReferenceData!$AC$4),"")</f>
        <v/>
      </c>
      <c r="AD4" t="str">
        <f ca="1">IFERROR(IF(0=LEN(ReferenceData!$AD$4),"",ReferenceData!$AD$4),"")</f>
        <v/>
      </c>
      <c r="AE4" t="str">
        <f ca="1">IFERROR(IF(0=LEN(ReferenceData!$AE$4),"",ReferenceData!$AE$4),"")</f>
        <v/>
      </c>
      <c r="AF4" t="str">
        <f ca="1">IFERROR(IF(0=LEN(ReferenceData!$AF$4),"",ReferenceData!$AF$4),"")</f>
        <v/>
      </c>
      <c r="AG4" t="str">
        <f ca="1">IFERROR(IF(0=LEN(ReferenceData!$AG$4),"",ReferenceData!$AG$4),"")</f>
        <v/>
      </c>
      <c r="AH4" t="str">
        <f ca="1">IFERROR(IF(0=LEN(ReferenceData!$AH$4),"",ReferenceData!$AH$4),"")</f>
        <v/>
      </c>
      <c r="AI4" t="str">
        <f ca="1">IFERROR(IF(0=LEN(ReferenceData!$AI$4),"",ReferenceData!$AI$4),"")</f>
        <v/>
      </c>
      <c r="AJ4" t="str">
        <f ca="1">IFERROR(IF(0=LEN(ReferenceData!$AJ$4),"",ReferenceData!$AJ$4),"")</f>
        <v/>
      </c>
      <c r="AK4">
        <f ca="1">IFERROR(IF(0=LEN(ReferenceData!$AK$4),"",ReferenceData!$AK$4),"")</f>
        <v>0.54836389799999996</v>
      </c>
      <c r="AL4">
        <f ca="1">IFERROR(IF(0=LEN(ReferenceData!$AL$4),"",ReferenceData!$AL$4),"")</f>
        <v>2.5962981489999999</v>
      </c>
      <c r="AM4">
        <f ca="1">IFERROR(IF(0=LEN(ReferenceData!$AM$4),"",ReferenceData!$AM$4),"")</f>
        <v>2.7224404899999999</v>
      </c>
      <c r="AN4">
        <f ca="1">IFERROR(IF(0=LEN(ReferenceData!$AN$4),"",ReferenceData!$AN$4),"")</f>
        <v>1.465752138</v>
      </c>
      <c r="AO4">
        <f ca="1">IFERROR(IF(0=LEN(ReferenceData!$AO$4),"",ReferenceData!$AO$4),"")</f>
        <v>2.0827320829999998</v>
      </c>
      <c r="AP4">
        <f ca="1">IFERROR(IF(0=LEN(ReferenceData!$AP$4),"",ReferenceData!$AP$4),"")</f>
        <v>1.3379634359999999</v>
      </c>
      <c r="AQ4">
        <f ca="1">IFERROR(IF(0=LEN(ReferenceData!$AQ$4),"",ReferenceData!$AQ$4),"")</f>
        <v>1.9388338409999999</v>
      </c>
      <c r="AR4">
        <f ca="1">IFERROR(IF(0=LEN(ReferenceData!$AR$4),"",ReferenceData!$AR$4),"")</f>
        <v>4.5591182359999998</v>
      </c>
      <c r="AS4">
        <f ca="1">IFERROR(IF(0=LEN(ReferenceData!$AS$4),"",ReferenceData!$AS$4),"")</f>
        <v>3.3183513439999999</v>
      </c>
      <c r="AT4">
        <f ca="1">IFERROR(IF(0=LEN(ReferenceData!$AT$4),"",ReferenceData!$AT$4),"")</f>
        <v>1.879839786</v>
      </c>
      <c r="AU4">
        <f ca="1">IFERROR(IF(0=LEN(ReferenceData!$AU$4),"",ReferenceData!$AU$4),"")</f>
        <v>1.2824744210000001</v>
      </c>
      <c r="AV4">
        <f ca="1">IFERROR(IF(0=LEN(ReferenceData!$AV$4),"",ReferenceData!$AV$4),"")</f>
        <v>2.4233227570000002</v>
      </c>
      <c r="AW4">
        <f ca="1">IFERROR(IF(0=LEN(ReferenceData!$AW$4),"",ReferenceData!$AW$4),"")</f>
        <v>1.825755561</v>
      </c>
      <c r="AX4">
        <f ca="1">IFERROR(IF(0=LEN(ReferenceData!$AX$4),"",ReferenceData!$AX$4),"")</f>
        <v>3.9463886819999998</v>
      </c>
      <c r="AY4">
        <f ca="1">IFERROR(IF(0=LEN(ReferenceData!$AY$4),"",ReferenceData!$AY$4),"")</f>
        <v>2.7171388759999999</v>
      </c>
      <c r="AZ4">
        <f ca="1">IFERROR(IF(0=LEN(ReferenceData!$AZ$4),"",ReferenceData!$AZ$4),"")</f>
        <v>5.1832621989999996</v>
      </c>
      <c r="BA4">
        <f ca="1">IFERROR(IF(0=LEN(ReferenceData!$BA$4),"",ReferenceData!$BA$4),"")</f>
        <v>5.4446695690000002</v>
      </c>
      <c r="BB4">
        <f ca="1">IFERROR(IF(0=LEN(ReferenceData!$BB$4),"",ReferenceData!$BB$4),"")</f>
        <v>-2.8938906750000002</v>
      </c>
      <c r="BC4">
        <f ca="1">IFERROR(IF(0=LEN(ReferenceData!$BC$4),"",ReferenceData!$BC$4),"")</f>
        <v>9.8834932450000004</v>
      </c>
      <c r="BD4">
        <f ca="1">IFERROR(IF(0=LEN(ReferenceData!$BD$4),"",ReferenceData!$BD$4),"")</f>
        <v>7.5518936639999996</v>
      </c>
      <c r="BE4">
        <f ca="1">IFERROR(IF(0=LEN(ReferenceData!$BE$4),"",ReferenceData!$BE$4),"")</f>
        <v>7.2358380469999997</v>
      </c>
      <c r="BF4">
        <f ca="1">IFERROR(IF(0=LEN(ReferenceData!$BF$4),"",ReferenceData!$BF$4),"")</f>
        <v>8.5141433620000004</v>
      </c>
      <c r="BG4">
        <f ca="1">IFERROR(IF(0=LEN(ReferenceData!$BG$4),"",ReferenceData!$BG$4),"")</f>
        <v>5.6830562679999996</v>
      </c>
      <c r="BH4">
        <f ca="1">IFERROR(IF(0=LEN(ReferenceData!$BH$4),"",ReferenceData!$BH$4),"")</f>
        <v>-99.697793899999994</v>
      </c>
      <c r="BI4">
        <f ca="1">IFERROR(IF(0=LEN(ReferenceData!$BI$4),"",ReferenceData!$BI$4),"")</f>
        <v>2.3440116080000002</v>
      </c>
      <c r="BJ4">
        <f ca="1">IFERROR(IF(0=LEN(ReferenceData!$BJ$4),"",ReferenceData!$BJ$4),"")</f>
        <v>-6.3353870880000001</v>
      </c>
      <c r="BK4">
        <f ca="1">IFERROR(IF(0=LEN(ReferenceData!$BK$4),"",ReferenceData!$BK$4),"")</f>
        <v>6.5730337079999996</v>
      </c>
      <c r="BL4">
        <f ca="1">IFERROR(IF(0=LEN(ReferenceData!$BL$4),"",ReferenceData!$BL$4),"")</f>
        <v>3.0803004839999999</v>
      </c>
      <c r="BM4" t="str">
        <f ca="1">IFERROR(IF(0=LEN(ReferenceData!$BM$4),"",ReferenceData!$BM$4),"")</f>
        <v/>
      </c>
    </row>
    <row r="5" spans="1:65">
      <c r="A5" t="str">
        <f>IFERROR(IF(0=LEN(ReferenceData!$A$5),"",ReferenceData!$A$5),"")</f>
        <v xml:space="preserve">    Citigroup Inc</v>
      </c>
      <c r="B5" t="str">
        <f>IFERROR(IF(0=LEN(ReferenceData!$B$5),"",ReferenceData!$B$5),"")</f>
        <v>C US Equity</v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Expression</v>
      </c>
      <c r="F5" t="str">
        <f ca="1">IFERROR(IF(0=LEN(ReferenceData!$F$5),"",ReferenceData!$F$5),"")</f>
        <v/>
      </c>
      <c r="G5" t="str">
        <f ca="1">IFERROR(IF(0=LEN(ReferenceData!$G$5),"",ReferenceData!$G$5),"")</f>
        <v/>
      </c>
      <c r="H5" t="str">
        <f ca="1">IFERROR(IF(0=LEN(ReferenceData!$H$5),"",ReferenceData!$H$5),"")</f>
        <v/>
      </c>
      <c r="I5" t="str">
        <f ca="1">IFERROR(IF(0=LEN(ReferenceData!$I$5),"",ReferenceData!$I$5),"")</f>
        <v/>
      </c>
      <c r="J5" t="str">
        <f ca="1">IFERROR(IF(0=LEN(ReferenceData!$J$5),"",ReferenceData!$J$5),"")</f>
        <v/>
      </c>
      <c r="K5" t="str">
        <f ca="1">IFERROR(IF(0=LEN(ReferenceData!$K$5),"",ReferenceData!$K$5),"")</f>
        <v/>
      </c>
      <c r="L5" t="str">
        <f ca="1">IFERROR(IF(0=LEN(ReferenceData!$L$5),"",ReferenceData!$L$5),"")</f>
        <v/>
      </c>
      <c r="M5" t="str">
        <f ca="1">IFERROR(IF(0=LEN(ReferenceData!$M$5),"",ReferenceData!$M$5),"")</f>
        <v/>
      </c>
      <c r="N5" t="str">
        <f ca="1">IFERROR(IF(0=LEN(ReferenceData!$N$5),"",ReferenceData!$N$5),"")</f>
        <v/>
      </c>
      <c r="O5" t="str">
        <f ca="1">IFERROR(IF(0=LEN(ReferenceData!$O$5),"",ReferenceData!$O$5),"")</f>
        <v/>
      </c>
      <c r="P5" t="str">
        <f ca="1">IFERROR(IF(0=LEN(ReferenceData!$P$5),"",ReferenceData!$P$5),"")</f>
        <v/>
      </c>
      <c r="Q5" t="str">
        <f ca="1">IFERROR(IF(0=LEN(ReferenceData!$Q$5),"",ReferenceData!$Q$5),"")</f>
        <v/>
      </c>
      <c r="R5" t="str">
        <f ca="1">IFERROR(IF(0=LEN(ReferenceData!$R$5),"",ReferenceData!$R$5),"")</f>
        <v/>
      </c>
      <c r="S5" t="str">
        <f ca="1">IFERROR(IF(0=LEN(ReferenceData!$S$5),"",ReferenceData!$S$5),"")</f>
        <v/>
      </c>
      <c r="T5" t="str">
        <f ca="1">IFERROR(IF(0=LEN(ReferenceData!$T$5),"",ReferenceData!$T$5),"")</f>
        <v/>
      </c>
      <c r="U5" t="str">
        <f ca="1">IFERROR(IF(0=LEN(ReferenceData!$U$5),"",ReferenceData!$U$5),"")</f>
        <v/>
      </c>
      <c r="V5" t="str">
        <f ca="1">IFERROR(IF(0=LEN(ReferenceData!$V$5),"",ReferenceData!$V$5),"")</f>
        <v/>
      </c>
      <c r="W5" t="str">
        <f ca="1">IFERROR(IF(0=LEN(ReferenceData!$W$5),"",ReferenceData!$W$5),"")</f>
        <v/>
      </c>
      <c r="X5" t="str">
        <f ca="1">IFERROR(IF(0=LEN(ReferenceData!$X$5),"",ReferenceData!$X$5),"")</f>
        <v/>
      </c>
      <c r="Y5" t="str">
        <f ca="1">IFERROR(IF(0=LEN(ReferenceData!$Y$5),"",ReferenceData!$Y$5),"")</f>
        <v/>
      </c>
      <c r="Z5" t="str">
        <f ca="1">IFERROR(IF(0=LEN(ReferenceData!$Z$5),"",ReferenceData!$Z$5),"")</f>
        <v/>
      </c>
      <c r="AA5" t="str">
        <f ca="1">IFERROR(IF(0=LEN(ReferenceData!$AA$5),"",ReferenceData!$AA$5),"")</f>
        <v/>
      </c>
      <c r="AB5" t="str">
        <f ca="1">IFERROR(IF(0=LEN(ReferenceData!$AB$5),"",ReferenceData!$AB$5),"")</f>
        <v/>
      </c>
      <c r="AC5" t="str">
        <f ca="1">IFERROR(IF(0=LEN(ReferenceData!$AC$5),"",ReferenceData!$AC$5),"")</f>
        <v/>
      </c>
      <c r="AD5" t="str">
        <f ca="1">IFERROR(IF(0=LEN(ReferenceData!$AD$5),"",ReferenceData!$AD$5),"")</f>
        <v/>
      </c>
      <c r="AE5" t="str">
        <f ca="1">IFERROR(IF(0=LEN(ReferenceData!$AE$5),"",ReferenceData!$AE$5),"")</f>
        <v/>
      </c>
      <c r="AF5" t="str">
        <f ca="1">IFERROR(IF(0=LEN(ReferenceData!$AF$5),"",ReferenceData!$AF$5),"")</f>
        <v/>
      </c>
      <c r="AG5" t="str">
        <f ca="1">IFERROR(IF(0=LEN(ReferenceData!$AG$5),"",ReferenceData!$AG$5),"")</f>
        <v/>
      </c>
      <c r="AH5" t="str">
        <f ca="1">IFERROR(IF(0=LEN(ReferenceData!$AH$5),"",ReferenceData!$AH$5),"")</f>
        <v/>
      </c>
      <c r="AI5" t="str">
        <f ca="1">IFERROR(IF(0=LEN(ReferenceData!$AI$5),"",ReferenceData!$AI$5),"")</f>
        <v/>
      </c>
      <c r="AJ5" t="str">
        <f ca="1">IFERROR(IF(0=LEN(ReferenceData!$AJ$5),"",ReferenceData!$AJ$5),"")</f>
        <v/>
      </c>
      <c r="AK5" t="str">
        <f ca="1">IFERROR(IF(0=LEN(ReferenceData!$AK$5),"",ReferenceData!$AK$5),"")</f>
        <v/>
      </c>
      <c r="AL5" t="str">
        <f ca="1">IFERROR(IF(0=LEN(ReferenceData!$AL$5),"",ReferenceData!$AL$5),"")</f>
        <v/>
      </c>
      <c r="AM5" t="str">
        <f ca="1">IFERROR(IF(0=LEN(ReferenceData!$AM$5),"",ReferenceData!$AM$5),"")</f>
        <v/>
      </c>
      <c r="AN5" t="str">
        <f ca="1">IFERROR(IF(0=LEN(ReferenceData!$AN$5),"",ReferenceData!$AN$5),"")</f>
        <v/>
      </c>
      <c r="AO5" t="str">
        <f ca="1">IFERROR(IF(0=LEN(ReferenceData!$AO$5),"",ReferenceData!$AO$5),"")</f>
        <v/>
      </c>
      <c r="AP5" t="str">
        <f ca="1">IFERROR(IF(0=LEN(ReferenceData!$AP$5),"",ReferenceData!$AP$5),"")</f>
        <v/>
      </c>
      <c r="AQ5" t="str">
        <f ca="1">IFERROR(IF(0=LEN(ReferenceData!$AQ$5),"",ReferenceData!$AQ$5),"")</f>
        <v/>
      </c>
      <c r="AR5" t="str">
        <f ca="1">IFERROR(IF(0=LEN(ReferenceData!$AR$5),"",ReferenceData!$AR$5),"")</f>
        <v/>
      </c>
      <c r="AS5" t="str">
        <f ca="1">IFERROR(IF(0=LEN(ReferenceData!$AS$5),"",ReferenceData!$AS$5),"")</f>
        <v/>
      </c>
      <c r="AT5" t="str">
        <f ca="1">IFERROR(IF(0=LEN(ReferenceData!$AT$5),"",ReferenceData!$AT$5),"")</f>
        <v/>
      </c>
      <c r="AU5" t="str">
        <f ca="1">IFERROR(IF(0=LEN(ReferenceData!$AU$5),"",ReferenceData!$AU$5),"")</f>
        <v/>
      </c>
      <c r="AV5" t="str">
        <f ca="1">IFERROR(IF(0=LEN(ReferenceData!$AV$5),"",ReferenceData!$AV$5),"")</f>
        <v/>
      </c>
      <c r="AW5" t="str">
        <f ca="1">IFERROR(IF(0=LEN(ReferenceData!$AW$5),"",ReferenceData!$AW$5),"")</f>
        <v/>
      </c>
      <c r="AX5" t="str">
        <f ca="1">IFERROR(IF(0=LEN(ReferenceData!$AX$5),"",ReferenceData!$AX$5),"")</f>
        <v/>
      </c>
      <c r="AY5" t="str">
        <f ca="1">IFERROR(IF(0=LEN(ReferenceData!$AY$5),"",ReferenceData!$AY$5),"")</f>
        <v/>
      </c>
      <c r="AZ5" t="str">
        <f ca="1">IFERROR(IF(0=LEN(ReferenceData!$AZ$5),"",ReferenceData!$AZ$5),"")</f>
        <v/>
      </c>
      <c r="BA5" t="str">
        <f ca="1">IFERROR(IF(0=LEN(ReferenceData!$BA$5),"",ReferenceData!$BA$5),"")</f>
        <v/>
      </c>
      <c r="BB5" t="str">
        <f ca="1">IFERROR(IF(0=LEN(ReferenceData!$BB$5),"",ReferenceData!$BB$5),"")</f>
        <v/>
      </c>
      <c r="BC5" t="str">
        <f ca="1">IFERROR(IF(0=LEN(ReferenceData!$BC$5),"",ReferenceData!$BC$5),"")</f>
        <v/>
      </c>
      <c r="BD5" t="str">
        <f ca="1">IFERROR(IF(0=LEN(ReferenceData!$BD$5),"",ReferenceData!$BD$5),"")</f>
        <v/>
      </c>
      <c r="BE5" t="str">
        <f ca="1">IFERROR(IF(0=LEN(ReferenceData!$BE$5),"",ReferenceData!$BE$5),"")</f>
        <v/>
      </c>
      <c r="BF5" t="str">
        <f ca="1">IFERROR(IF(0=LEN(ReferenceData!$BF$5),"",ReferenceData!$BF$5),"")</f>
        <v/>
      </c>
      <c r="BG5" t="str">
        <f ca="1">IFERROR(IF(0=LEN(ReferenceData!$BG$5),"",ReferenceData!$BG$5),"")</f>
        <v/>
      </c>
      <c r="BH5" t="str">
        <f ca="1">IFERROR(IF(0=LEN(ReferenceData!$BH$5),"",ReferenceData!$BH$5),"")</f>
        <v/>
      </c>
      <c r="BI5" t="str">
        <f ca="1">IFERROR(IF(0=LEN(ReferenceData!$BI$5),"",ReferenceData!$BI$5),"")</f>
        <v/>
      </c>
      <c r="BJ5" t="str">
        <f ca="1">IFERROR(IF(0=LEN(ReferenceData!$BJ$5),"",ReferenceData!$BJ$5),"")</f>
        <v/>
      </c>
      <c r="BK5" t="str">
        <f ca="1">IFERROR(IF(0=LEN(ReferenceData!$BK$5),"",ReferenceData!$BK$5),"")</f>
        <v/>
      </c>
      <c r="BL5" t="str">
        <f ca="1">IFERROR(IF(0=LEN(ReferenceData!$BL$5),"",ReferenceData!$BL$5),"")</f>
        <v/>
      </c>
      <c r="BM5" t="str">
        <f ca="1">IFERROR(IF(0=LEN(ReferenceData!$BM$5),"",ReferenceData!$BM$5),"")</f>
        <v/>
      </c>
    </row>
    <row r="6" spans="1:65">
      <c r="A6" t="str">
        <f>IFERROR(IF(0=LEN(ReferenceData!$A$6),"",ReferenceData!$A$6),"")</f>
        <v xml:space="preserve">    Citizens Financial Group Inc</v>
      </c>
      <c r="B6" t="str">
        <f>IFERROR(IF(0=LEN(ReferenceData!$B$6),"",ReferenceData!$B$6),"")</f>
        <v>CFG US Equity</v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Expression</v>
      </c>
      <c r="F6" t="str">
        <f ca="1">IFERROR(IF(0=LEN(ReferenceData!$F$6),"",ReferenceData!$F$6),"")</f>
        <v/>
      </c>
      <c r="G6">
        <f ca="1">IFERROR(IF(0=LEN(ReferenceData!$G$6),"",ReferenceData!$G$6),"")</f>
        <v>2.4197790640000001</v>
      </c>
      <c r="H6">
        <f ca="1">IFERROR(IF(0=LEN(ReferenceData!$H$6),"",ReferenceData!$H$6),"")</f>
        <v>2.7508914930000001</v>
      </c>
      <c r="I6">
        <f ca="1">IFERROR(IF(0=LEN(ReferenceData!$I$6),"",ReferenceData!$I$6),"")</f>
        <v>2.5012761609999998</v>
      </c>
      <c r="J6">
        <f ca="1">IFERROR(IF(0=LEN(ReferenceData!$J$6),"",ReferenceData!$J$6),"")</f>
        <v>2.8672032189999999</v>
      </c>
      <c r="K6">
        <f ca="1">IFERROR(IF(0=LEN(ReferenceData!$K$6),"",ReferenceData!$K$6),"")</f>
        <v>3.4260178749999999</v>
      </c>
      <c r="L6">
        <f ca="1">IFERROR(IF(0=LEN(ReferenceData!$L$6),"",ReferenceData!$L$6),"")</f>
        <v>2.817574021</v>
      </c>
      <c r="M6">
        <f ca="1">IFERROR(IF(0=LEN(ReferenceData!$M$6),"",ReferenceData!$M$6),"")</f>
        <v>2.6785714289999998</v>
      </c>
      <c r="N6">
        <f ca="1">IFERROR(IF(0=LEN(ReferenceData!$N$6),"",ReferenceData!$N$6),"")</f>
        <v>2.4545454549999999</v>
      </c>
      <c r="O6">
        <f ca="1">IFERROR(IF(0=LEN(ReferenceData!$O$6),"",ReferenceData!$O$6),"")</f>
        <v>3.0316949929999999</v>
      </c>
      <c r="P6">
        <f ca="1">IFERROR(IF(0=LEN(ReferenceData!$P$6),"",ReferenceData!$P$6),"")</f>
        <v>3.6018009000000002</v>
      </c>
      <c r="Q6">
        <f ca="1">IFERROR(IF(0=LEN(ReferenceData!$Q$6),"",ReferenceData!$Q$6),"")</f>
        <v>4.1945288749999996</v>
      </c>
      <c r="R6">
        <f ca="1">IFERROR(IF(0=LEN(ReferenceData!$R$6),"",ReferenceData!$R$6),"")</f>
        <v>4.4186046509999999</v>
      </c>
      <c r="S6">
        <f ca="1">IFERROR(IF(0=LEN(ReferenceData!$S$6),"",ReferenceData!$S$6),"")</f>
        <v>6.50994575</v>
      </c>
      <c r="T6">
        <f ca="1">IFERROR(IF(0=LEN(ReferenceData!$T$6),"",ReferenceData!$T$6),"")</f>
        <v>5.2827843379999999</v>
      </c>
      <c r="U6">
        <f ca="1">IFERROR(IF(0=LEN(ReferenceData!$U$6),"",ReferenceData!$U$6),"")</f>
        <v>9.9457504520000004</v>
      </c>
      <c r="V6">
        <f ca="1">IFERROR(IF(0=LEN(ReferenceData!$V$6),"",ReferenceData!$V$6),"")</f>
        <v>11.30638547</v>
      </c>
      <c r="W6">
        <f ca="1">IFERROR(IF(0=LEN(ReferenceData!$W$6),"",ReferenceData!$W$6),"")</f>
        <v>16.024567279999999</v>
      </c>
      <c r="X6">
        <f ca="1">IFERROR(IF(0=LEN(ReferenceData!$X$6),"",ReferenceData!$X$6),"")</f>
        <v>15.771428569999999</v>
      </c>
      <c r="Y6">
        <f ca="1">IFERROR(IF(0=LEN(ReferenceData!$Y$6),"",ReferenceData!$Y$6),"")</f>
        <v>9.595654798</v>
      </c>
      <c r="Z6">
        <f ca="1">IFERROR(IF(0=LEN(ReferenceData!$Z$6),"",ReferenceData!$Z$6),"")</f>
        <v>4.8869883930000002</v>
      </c>
      <c r="AA6">
        <f ca="1">IFERROR(IF(0=LEN(ReferenceData!$AA$6),"",ReferenceData!$AA$6),"")</f>
        <v>7.1428571429999996</v>
      </c>
      <c r="AB6">
        <f ca="1">IFERROR(IF(0=LEN(ReferenceData!$AB$6),"",ReferenceData!$AB$6),"")</f>
        <v>3.8083538080000001</v>
      </c>
      <c r="AC6">
        <f ca="1">IFERROR(IF(0=LEN(ReferenceData!$AC$6),"",ReferenceData!$AC$6),"")</f>
        <v>2.707808564</v>
      </c>
      <c r="AD6">
        <f ca="1">IFERROR(IF(0=LEN(ReferenceData!$AD$6),"",ReferenceData!$AD$6),"")</f>
        <v>3.2015065909999998</v>
      </c>
      <c r="AE6">
        <f ca="1">IFERROR(IF(0=LEN(ReferenceData!$AE$6),"",ReferenceData!$AE$6),"")</f>
        <v>3.1329923270000002</v>
      </c>
      <c r="AF6">
        <f ca="1">IFERROR(IF(0=LEN(ReferenceData!$AF$6),"",ReferenceData!$AF$6),"")</f>
        <v>1.789264414</v>
      </c>
      <c r="AG6">
        <f ca="1">IFERROR(IF(0=LEN(ReferenceData!$AG$6),"",ReferenceData!$AG$6),"")</f>
        <v>1.7099863200000001</v>
      </c>
      <c r="AH6" t="str">
        <f ca="1">IFERROR(IF(0=LEN(ReferenceData!$AH$6),"",ReferenceData!$AH$6),"")</f>
        <v/>
      </c>
      <c r="AI6">
        <f ca="1">IFERROR(IF(0=LEN(ReferenceData!$AI$6),"",ReferenceData!$AI$6),"")</f>
        <v>1.871101871</v>
      </c>
      <c r="AJ6">
        <f ca="1">IFERROR(IF(0=LEN(ReferenceData!$AJ$6),"",ReferenceData!$AJ$6),"")</f>
        <v>2.1489971350000001</v>
      </c>
      <c r="AK6">
        <f ca="1">IFERROR(IF(0=LEN(ReferenceData!$AK$6),"",ReferenceData!$AK$6),"")</f>
        <v>1.6618497109999999</v>
      </c>
      <c r="AL6">
        <f ca="1">IFERROR(IF(0=LEN(ReferenceData!$AL$6),"",ReferenceData!$AL$6),"")</f>
        <v>2.6412325750000001</v>
      </c>
      <c r="AM6">
        <f ca="1">IFERROR(IF(0=LEN(ReferenceData!$AM$6),"",ReferenceData!$AM$6),"")</f>
        <v>2.3913043479999998</v>
      </c>
      <c r="AN6">
        <f ca="1">IFERROR(IF(0=LEN(ReferenceData!$AN$6),"",ReferenceData!$AN$6),"")</f>
        <v>1.9561815339999999</v>
      </c>
      <c r="AO6">
        <f ca="1">IFERROR(IF(0=LEN(ReferenceData!$AO$6),"",ReferenceData!$AO$6),"")</f>
        <v>1.458670989</v>
      </c>
      <c r="AP6">
        <f ca="1">IFERROR(IF(0=LEN(ReferenceData!$AP$6),"",ReferenceData!$AP$6),"")</f>
        <v>1.623376623</v>
      </c>
      <c r="AQ6">
        <f ca="1">IFERROR(IF(0=LEN(ReferenceData!$AQ$6),"",ReferenceData!$AQ$6),"")</f>
        <v>1.4888337469999999</v>
      </c>
      <c r="AR6">
        <f ca="1">IFERROR(IF(0=LEN(ReferenceData!$AR$6),"",ReferenceData!$AR$6),"")</f>
        <v>2.5</v>
      </c>
      <c r="AS6">
        <f ca="1">IFERROR(IF(0=LEN(ReferenceData!$AS$6),"",ReferenceData!$AS$6),"")</f>
        <v>2.7895181739999999</v>
      </c>
      <c r="AT6">
        <f ca="1">IFERROR(IF(0=LEN(ReferenceData!$AT$6),"",ReferenceData!$AT$6),"")</f>
        <v>1.3570822730000001</v>
      </c>
      <c r="AU6">
        <f ca="1">IFERROR(IF(0=LEN(ReferenceData!$AU$6),"",ReferenceData!$AU$6),"")</f>
        <v>1.80878553</v>
      </c>
      <c r="AV6">
        <f ca="1">IFERROR(IF(0=LEN(ReferenceData!$AV$6),"",ReferenceData!$AV$6),"")</f>
        <v>0.95044127599999995</v>
      </c>
      <c r="AW6">
        <f ca="1">IFERROR(IF(0=LEN(ReferenceData!$AW$6),"",ReferenceData!$AW$6),"")</f>
        <v>1.715265866</v>
      </c>
      <c r="AX6">
        <f ca="1">IFERROR(IF(0=LEN(ReferenceData!$AX$6),"",ReferenceData!$AX$6),"")</f>
        <v>1.727115717</v>
      </c>
      <c r="AY6">
        <f ca="1">IFERROR(IF(0=LEN(ReferenceData!$AY$6),"",ReferenceData!$AY$6),"")</f>
        <v>1.7346053770000001</v>
      </c>
      <c r="AZ6" t="str">
        <f ca="1">IFERROR(IF(0=LEN(ReferenceData!$AZ$6),"",ReferenceData!$AZ$6),"")</f>
        <v/>
      </c>
      <c r="BA6">
        <f ca="1">IFERROR(IF(0=LEN(ReferenceData!$BA$6),"",ReferenceData!$BA$6),"")</f>
        <v>3.8558256499999999</v>
      </c>
      <c r="BB6" t="str">
        <f ca="1">IFERROR(IF(0=LEN(ReferenceData!$BB$6),"",ReferenceData!$BB$6),"")</f>
        <v/>
      </c>
      <c r="BC6" t="str">
        <f ca="1">IFERROR(IF(0=LEN(ReferenceData!$BC$6),"",ReferenceData!$BC$6),"")</f>
        <v/>
      </c>
      <c r="BD6" t="str">
        <f ca="1">IFERROR(IF(0=LEN(ReferenceData!$BD$6),"",ReferenceData!$BD$6),"")</f>
        <v/>
      </c>
      <c r="BE6" t="str">
        <f ca="1">IFERROR(IF(0=LEN(ReferenceData!$BE$6),"",ReferenceData!$BE$6),"")</f>
        <v/>
      </c>
      <c r="BF6" t="str">
        <f ca="1">IFERROR(IF(0=LEN(ReferenceData!$BF$6),"",ReferenceData!$BF$6),"")</f>
        <v/>
      </c>
      <c r="BG6" t="str">
        <f ca="1">IFERROR(IF(0=LEN(ReferenceData!$BG$6),"",ReferenceData!$BG$6),"")</f>
        <v/>
      </c>
      <c r="BH6" t="str">
        <f ca="1">IFERROR(IF(0=LEN(ReferenceData!$BH$6),"",ReferenceData!$BH$6),"")</f>
        <v/>
      </c>
      <c r="BI6" t="str">
        <f ca="1">IFERROR(IF(0=LEN(ReferenceData!$BI$6),"",ReferenceData!$BI$6),"")</f>
        <v/>
      </c>
      <c r="BJ6" t="str">
        <f ca="1">IFERROR(IF(0=LEN(ReferenceData!$BJ$6),"",ReferenceData!$BJ$6),"")</f>
        <v/>
      </c>
      <c r="BK6" t="str">
        <f ca="1">IFERROR(IF(0=LEN(ReferenceData!$BK$6),"",ReferenceData!$BK$6),"")</f>
        <v/>
      </c>
      <c r="BL6" t="str">
        <f ca="1">IFERROR(IF(0=LEN(ReferenceData!$BL$6),"",ReferenceData!$BL$6),"")</f>
        <v/>
      </c>
      <c r="BM6" t="str">
        <f ca="1">IFERROR(IF(0=LEN(ReferenceData!$BM$6),"",ReferenceData!$BM$6),"")</f>
        <v/>
      </c>
    </row>
    <row r="7" spans="1:65">
      <c r="A7" t="str">
        <f>IFERROR(IF(0=LEN(ReferenceData!$A$7),"",ReferenceData!$A$7),"")</f>
        <v xml:space="preserve">    Capital One Financial Corp</v>
      </c>
      <c r="B7" t="str">
        <f>IFERROR(IF(0=LEN(ReferenceData!$B$7),"",ReferenceData!$B$7),"")</f>
        <v>COF US Equity</v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Expression</v>
      </c>
      <c r="F7" t="str">
        <f ca="1">IFERROR(IF(0=LEN(ReferenceData!$F$7),"",ReferenceData!$F$7),"")</f>
        <v/>
      </c>
      <c r="G7" t="str">
        <f ca="1">IFERROR(IF(0=LEN(ReferenceData!$G$7),"",ReferenceData!$G$7),"")</f>
        <v/>
      </c>
      <c r="H7" t="str">
        <f ca="1">IFERROR(IF(0=LEN(ReferenceData!$H$7),"",ReferenceData!$H$7),"")</f>
        <v/>
      </c>
      <c r="I7" t="str">
        <f ca="1">IFERROR(IF(0=LEN(ReferenceData!$I$7),"",ReferenceData!$I$7),"")</f>
        <v/>
      </c>
      <c r="J7" t="str">
        <f ca="1">IFERROR(IF(0=LEN(ReferenceData!$J$7),"",ReferenceData!$J$7),"")</f>
        <v/>
      </c>
      <c r="K7" t="str">
        <f ca="1">IFERROR(IF(0=LEN(ReferenceData!$K$7),"",ReferenceData!$K$7),"")</f>
        <v/>
      </c>
      <c r="L7" t="str">
        <f ca="1">IFERROR(IF(0=LEN(ReferenceData!$L$7),"",ReferenceData!$L$7),"")</f>
        <v/>
      </c>
      <c r="M7" t="str">
        <f ca="1">IFERROR(IF(0=LEN(ReferenceData!$M$7),"",ReferenceData!$M$7),"")</f>
        <v/>
      </c>
      <c r="N7" t="str">
        <f ca="1">IFERROR(IF(0=LEN(ReferenceData!$N$7),"",ReferenceData!$N$7),"")</f>
        <v/>
      </c>
      <c r="O7" t="str">
        <f ca="1">IFERROR(IF(0=LEN(ReferenceData!$O$7),"",ReferenceData!$O$7),"")</f>
        <v/>
      </c>
      <c r="P7" t="str">
        <f ca="1">IFERROR(IF(0=LEN(ReferenceData!$P$7),"",ReferenceData!$P$7),"")</f>
        <v/>
      </c>
      <c r="Q7" t="str">
        <f ca="1">IFERROR(IF(0=LEN(ReferenceData!$Q$7),"",ReferenceData!$Q$7),"")</f>
        <v/>
      </c>
      <c r="R7" t="str">
        <f ca="1">IFERROR(IF(0=LEN(ReferenceData!$R$7),"",ReferenceData!$R$7),"")</f>
        <v/>
      </c>
      <c r="S7" t="str">
        <f ca="1">IFERROR(IF(0=LEN(ReferenceData!$S$7),"",ReferenceData!$S$7),"")</f>
        <v/>
      </c>
      <c r="T7" t="str">
        <f ca="1">IFERROR(IF(0=LEN(ReferenceData!$T$7),"",ReferenceData!$T$7),"")</f>
        <v/>
      </c>
      <c r="U7" t="str">
        <f ca="1">IFERROR(IF(0=LEN(ReferenceData!$U$7),"",ReferenceData!$U$7),"")</f>
        <v/>
      </c>
      <c r="V7" t="str">
        <f ca="1">IFERROR(IF(0=LEN(ReferenceData!$V$7),"",ReferenceData!$V$7),"")</f>
        <v/>
      </c>
      <c r="W7" t="str">
        <f ca="1">IFERROR(IF(0=LEN(ReferenceData!$W$7),"",ReferenceData!$W$7),"")</f>
        <v/>
      </c>
      <c r="X7" t="str">
        <f ca="1">IFERROR(IF(0=LEN(ReferenceData!$X$7),"",ReferenceData!$X$7),"")</f>
        <v/>
      </c>
      <c r="Y7" t="str">
        <f ca="1">IFERROR(IF(0=LEN(ReferenceData!$Y$7),"",ReferenceData!$Y$7),"")</f>
        <v/>
      </c>
      <c r="Z7" t="str">
        <f ca="1">IFERROR(IF(0=LEN(ReferenceData!$Z$7),"",ReferenceData!$Z$7),"")</f>
        <v/>
      </c>
      <c r="AA7" t="str">
        <f ca="1">IFERROR(IF(0=LEN(ReferenceData!$AA$7),"",ReferenceData!$AA$7),"")</f>
        <v/>
      </c>
      <c r="AB7" t="str">
        <f ca="1">IFERROR(IF(0=LEN(ReferenceData!$AB$7),"",ReferenceData!$AB$7),"")</f>
        <v/>
      </c>
      <c r="AC7" t="str">
        <f ca="1">IFERROR(IF(0=LEN(ReferenceData!$AC$7),"",ReferenceData!$AC$7),"")</f>
        <v/>
      </c>
      <c r="AD7" t="str">
        <f ca="1">IFERROR(IF(0=LEN(ReferenceData!$AD$7),"",ReferenceData!$AD$7),"")</f>
        <v/>
      </c>
      <c r="AE7" t="str">
        <f ca="1">IFERROR(IF(0=LEN(ReferenceData!$AE$7),"",ReferenceData!$AE$7),"")</f>
        <v/>
      </c>
      <c r="AF7" t="str">
        <f ca="1">IFERROR(IF(0=LEN(ReferenceData!$AF$7),"",ReferenceData!$AF$7),"")</f>
        <v/>
      </c>
      <c r="AG7" t="str">
        <f ca="1">IFERROR(IF(0=LEN(ReferenceData!$AG$7),"",ReferenceData!$AG$7),"")</f>
        <v/>
      </c>
      <c r="AH7" t="str">
        <f ca="1">IFERROR(IF(0=LEN(ReferenceData!$AH$7),"",ReferenceData!$AH$7),"")</f>
        <v/>
      </c>
      <c r="AI7" t="str">
        <f ca="1">IFERROR(IF(0=LEN(ReferenceData!$AI$7),"",ReferenceData!$AI$7),"")</f>
        <v/>
      </c>
      <c r="AJ7" t="str">
        <f ca="1">IFERROR(IF(0=LEN(ReferenceData!$AJ$7),"",ReferenceData!$AJ$7),"")</f>
        <v/>
      </c>
      <c r="AK7" t="str">
        <f ca="1">IFERROR(IF(0=LEN(ReferenceData!$AK$7),"",ReferenceData!$AK$7),"")</f>
        <v/>
      </c>
      <c r="AL7" t="str">
        <f ca="1">IFERROR(IF(0=LEN(ReferenceData!$AL$7),"",ReferenceData!$AL$7),"")</f>
        <v/>
      </c>
      <c r="AM7" t="str">
        <f ca="1">IFERROR(IF(0=LEN(ReferenceData!$AM$7),"",ReferenceData!$AM$7),"")</f>
        <v/>
      </c>
      <c r="AN7" t="str">
        <f ca="1">IFERROR(IF(0=LEN(ReferenceData!$AN$7),"",ReferenceData!$AN$7),"")</f>
        <v/>
      </c>
      <c r="AO7" t="str">
        <f ca="1">IFERROR(IF(0=LEN(ReferenceData!$AO$7),"",ReferenceData!$AO$7),"")</f>
        <v/>
      </c>
      <c r="AP7" t="str">
        <f ca="1">IFERROR(IF(0=LEN(ReferenceData!$AP$7),"",ReferenceData!$AP$7),"")</f>
        <v/>
      </c>
      <c r="AQ7" t="str">
        <f ca="1">IFERROR(IF(0=LEN(ReferenceData!$AQ$7),"",ReferenceData!$AQ$7),"")</f>
        <v/>
      </c>
      <c r="AR7" t="str">
        <f ca="1">IFERROR(IF(0=LEN(ReferenceData!$AR$7),"",ReferenceData!$AR$7),"")</f>
        <v/>
      </c>
      <c r="AS7" t="str">
        <f ca="1">IFERROR(IF(0=LEN(ReferenceData!$AS$7),"",ReferenceData!$AS$7),"")</f>
        <v/>
      </c>
      <c r="AT7" t="str">
        <f ca="1">IFERROR(IF(0=LEN(ReferenceData!$AT$7),"",ReferenceData!$AT$7),"")</f>
        <v/>
      </c>
      <c r="AU7" t="str">
        <f ca="1">IFERROR(IF(0=LEN(ReferenceData!$AU$7),"",ReferenceData!$AU$7),"")</f>
        <v/>
      </c>
      <c r="AV7" t="str">
        <f ca="1">IFERROR(IF(0=LEN(ReferenceData!$AV$7),"",ReferenceData!$AV$7),"")</f>
        <v/>
      </c>
      <c r="AW7" t="str">
        <f ca="1">IFERROR(IF(0=LEN(ReferenceData!$AW$7),"",ReferenceData!$AW$7),"")</f>
        <v/>
      </c>
      <c r="AX7" t="str">
        <f ca="1">IFERROR(IF(0=LEN(ReferenceData!$AX$7),"",ReferenceData!$AX$7),"")</f>
        <v/>
      </c>
      <c r="AY7" t="str">
        <f ca="1">IFERROR(IF(0=LEN(ReferenceData!$AY$7),"",ReferenceData!$AY$7),"")</f>
        <v/>
      </c>
      <c r="AZ7" t="str">
        <f ca="1">IFERROR(IF(0=LEN(ReferenceData!$AZ$7),"",ReferenceData!$AZ$7),"")</f>
        <v/>
      </c>
      <c r="BA7" t="str">
        <f ca="1">IFERROR(IF(0=LEN(ReferenceData!$BA$7),"",ReferenceData!$BA$7),"")</f>
        <v/>
      </c>
      <c r="BB7" t="str">
        <f ca="1">IFERROR(IF(0=LEN(ReferenceData!$BB$7),"",ReferenceData!$BB$7),"")</f>
        <v/>
      </c>
      <c r="BC7" t="str">
        <f ca="1">IFERROR(IF(0=LEN(ReferenceData!$BC$7),"",ReferenceData!$BC$7),"")</f>
        <v/>
      </c>
      <c r="BD7" t="str">
        <f ca="1">IFERROR(IF(0=LEN(ReferenceData!$BD$7),"",ReferenceData!$BD$7),"")</f>
        <v/>
      </c>
      <c r="BE7" t="str">
        <f ca="1">IFERROR(IF(0=LEN(ReferenceData!$BE$7),"",ReferenceData!$BE$7),"")</f>
        <v/>
      </c>
      <c r="BF7" t="str">
        <f ca="1">IFERROR(IF(0=LEN(ReferenceData!$BF$7),"",ReferenceData!$BF$7),"")</f>
        <v/>
      </c>
      <c r="BG7" t="str">
        <f ca="1">IFERROR(IF(0=LEN(ReferenceData!$BG$7),"",ReferenceData!$BG$7),"")</f>
        <v/>
      </c>
      <c r="BH7" t="str">
        <f ca="1">IFERROR(IF(0=LEN(ReferenceData!$BH$7),"",ReferenceData!$BH$7),"")</f>
        <v/>
      </c>
      <c r="BI7" t="str">
        <f ca="1">IFERROR(IF(0=LEN(ReferenceData!$BI$7),"",ReferenceData!$BI$7),"")</f>
        <v/>
      </c>
      <c r="BJ7" t="str">
        <f ca="1">IFERROR(IF(0=LEN(ReferenceData!$BJ$7),"",ReferenceData!$BJ$7),"")</f>
        <v/>
      </c>
      <c r="BK7" t="str">
        <f ca="1">IFERROR(IF(0=LEN(ReferenceData!$BK$7),"",ReferenceData!$BK$7),"")</f>
        <v/>
      </c>
      <c r="BL7" t="str">
        <f ca="1">IFERROR(IF(0=LEN(ReferenceData!$BL$7),"",ReferenceData!$BL$7),"")</f>
        <v/>
      </c>
      <c r="BM7" t="str">
        <f ca="1">IFERROR(IF(0=LEN(ReferenceData!$BM$7),"",ReferenceData!$BM$7),"")</f>
        <v/>
      </c>
    </row>
    <row r="8" spans="1:65">
      <c r="A8" t="str">
        <f>IFERROR(IF(0=LEN(ReferenceData!$A$8),"",ReferenceData!$A$8),"")</f>
        <v xml:space="preserve">    Comerica Inc</v>
      </c>
      <c r="B8" t="str">
        <f>IFERROR(IF(0=LEN(ReferenceData!$B$8),"",ReferenceData!$B$8),"")</f>
        <v>CMA US Equity</v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Expression</v>
      </c>
      <c r="F8" t="str">
        <f ca="1">IFERROR(IF(0=LEN(ReferenceData!$F$8),"",ReferenceData!$F$8),"")</f>
        <v/>
      </c>
      <c r="G8" t="str">
        <f ca="1">IFERROR(IF(0=LEN(ReferenceData!$G$8),"",ReferenceData!$G$8),"")</f>
        <v/>
      </c>
      <c r="H8" t="str">
        <f ca="1">IFERROR(IF(0=LEN(ReferenceData!$H$8),"",ReferenceData!$H$8),"")</f>
        <v/>
      </c>
      <c r="I8" t="str">
        <f ca="1">IFERROR(IF(0=LEN(ReferenceData!$I$8),"",ReferenceData!$I$8),"")</f>
        <v/>
      </c>
      <c r="J8" t="str">
        <f ca="1">IFERROR(IF(0=LEN(ReferenceData!$J$8),"",ReferenceData!$J$8),"")</f>
        <v/>
      </c>
      <c r="K8" t="str">
        <f ca="1">IFERROR(IF(0=LEN(ReferenceData!$K$8),"",ReferenceData!$K$8),"")</f>
        <v/>
      </c>
      <c r="L8" t="str">
        <f ca="1">IFERROR(IF(0=LEN(ReferenceData!$L$8),"",ReferenceData!$L$8),"")</f>
        <v/>
      </c>
      <c r="M8" t="str">
        <f ca="1">IFERROR(IF(0=LEN(ReferenceData!$M$8),"",ReferenceData!$M$8),"")</f>
        <v/>
      </c>
      <c r="N8" t="str">
        <f ca="1">IFERROR(IF(0=LEN(ReferenceData!$N$8),"",ReferenceData!$N$8),"")</f>
        <v/>
      </c>
      <c r="O8" t="str">
        <f ca="1">IFERROR(IF(0=LEN(ReferenceData!$O$8),"",ReferenceData!$O$8),"")</f>
        <v/>
      </c>
      <c r="P8" t="str">
        <f ca="1">IFERROR(IF(0=LEN(ReferenceData!$P$8),"",ReferenceData!$P$8),"")</f>
        <v/>
      </c>
      <c r="Q8" t="str">
        <f ca="1">IFERROR(IF(0=LEN(ReferenceData!$Q$8),"",ReferenceData!$Q$8),"")</f>
        <v/>
      </c>
      <c r="R8" t="str">
        <f ca="1">IFERROR(IF(0=LEN(ReferenceData!$R$8),"",ReferenceData!$R$8),"")</f>
        <v/>
      </c>
      <c r="S8" t="str">
        <f ca="1">IFERROR(IF(0=LEN(ReferenceData!$S$8),"",ReferenceData!$S$8),"")</f>
        <v/>
      </c>
      <c r="T8" t="str">
        <f ca="1">IFERROR(IF(0=LEN(ReferenceData!$T$8),"",ReferenceData!$T$8),"")</f>
        <v/>
      </c>
      <c r="U8" t="str">
        <f ca="1">IFERROR(IF(0=LEN(ReferenceData!$U$8),"",ReferenceData!$U$8),"")</f>
        <v/>
      </c>
      <c r="V8" t="str">
        <f ca="1">IFERROR(IF(0=LEN(ReferenceData!$V$8),"",ReferenceData!$V$8),"")</f>
        <v/>
      </c>
      <c r="W8" t="str">
        <f ca="1">IFERROR(IF(0=LEN(ReferenceData!$W$8),"",ReferenceData!$W$8),"")</f>
        <v/>
      </c>
      <c r="X8" t="str">
        <f ca="1">IFERROR(IF(0=LEN(ReferenceData!$X$8),"",ReferenceData!$X$8),"")</f>
        <v/>
      </c>
      <c r="Y8" t="str">
        <f ca="1">IFERROR(IF(0=LEN(ReferenceData!$Y$8),"",ReferenceData!$Y$8),"")</f>
        <v/>
      </c>
      <c r="Z8" t="str">
        <f ca="1">IFERROR(IF(0=LEN(ReferenceData!$Z$8),"",ReferenceData!$Z$8),"")</f>
        <v/>
      </c>
      <c r="AA8" t="str">
        <f ca="1">IFERROR(IF(0=LEN(ReferenceData!$AA$8),"",ReferenceData!$AA$8),"")</f>
        <v/>
      </c>
      <c r="AB8" t="str">
        <f ca="1">IFERROR(IF(0=LEN(ReferenceData!$AB$8),"",ReferenceData!$AB$8),"")</f>
        <v/>
      </c>
      <c r="AC8" t="str">
        <f ca="1">IFERROR(IF(0=LEN(ReferenceData!$AC$8),"",ReferenceData!$AC$8),"")</f>
        <v/>
      </c>
      <c r="AD8" t="str">
        <f ca="1">IFERROR(IF(0=LEN(ReferenceData!$AD$8),"",ReferenceData!$AD$8),"")</f>
        <v/>
      </c>
      <c r="AE8" t="str">
        <f ca="1">IFERROR(IF(0=LEN(ReferenceData!$AE$8),"",ReferenceData!$AE$8),"")</f>
        <v/>
      </c>
      <c r="AF8" t="str">
        <f ca="1">IFERROR(IF(0=LEN(ReferenceData!$AF$8),"",ReferenceData!$AF$8),"")</f>
        <v/>
      </c>
      <c r="AG8" t="str">
        <f ca="1">IFERROR(IF(0=LEN(ReferenceData!$AG$8),"",ReferenceData!$AG$8),"")</f>
        <v/>
      </c>
      <c r="AH8" t="str">
        <f ca="1">IFERROR(IF(0=LEN(ReferenceData!$AH$8),"",ReferenceData!$AH$8),"")</f>
        <v/>
      </c>
      <c r="AI8" t="str">
        <f ca="1">IFERROR(IF(0=LEN(ReferenceData!$AI$8),"",ReferenceData!$AI$8),"")</f>
        <v/>
      </c>
      <c r="AJ8" t="str">
        <f ca="1">IFERROR(IF(0=LEN(ReferenceData!$AJ$8),"",ReferenceData!$AJ$8),"")</f>
        <v/>
      </c>
      <c r="AK8" t="str">
        <f ca="1">IFERROR(IF(0=LEN(ReferenceData!$AK$8),"",ReferenceData!$AK$8),"")</f>
        <v/>
      </c>
      <c r="AL8" t="str">
        <f ca="1">IFERROR(IF(0=LEN(ReferenceData!$AL$8),"",ReferenceData!$AL$8),"")</f>
        <v/>
      </c>
      <c r="AM8" t="str">
        <f ca="1">IFERROR(IF(0=LEN(ReferenceData!$AM$8),"",ReferenceData!$AM$8),"")</f>
        <v/>
      </c>
      <c r="AN8" t="str">
        <f ca="1">IFERROR(IF(0=LEN(ReferenceData!$AN$8),"",ReferenceData!$AN$8),"")</f>
        <v/>
      </c>
      <c r="AO8" t="str">
        <f ca="1">IFERROR(IF(0=LEN(ReferenceData!$AO$8),"",ReferenceData!$AO$8),"")</f>
        <v/>
      </c>
      <c r="AP8" t="str">
        <f ca="1">IFERROR(IF(0=LEN(ReferenceData!$AP$8),"",ReferenceData!$AP$8),"")</f>
        <v/>
      </c>
      <c r="AQ8" t="str">
        <f ca="1">IFERROR(IF(0=LEN(ReferenceData!$AQ$8),"",ReferenceData!$AQ$8),"")</f>
        <v/>
      </c>
      <c r="AR8" t="str">
        <f ca="1">IFERROR(IF(0=LEN(ReferenceData!$AR$8),"",ReferenceData!$AR$8),"")</f>
        <v/>
      </c>
      <c r="AS8" t="str">
        <f ca="1">IFERROR(IF(0=LEN(ReferenceData!$AS$8),"",ReferenceData!$AS$8),"")</f>
        <v/>
      </c>
      <c r="AT8" t="str">
        <f ca="1">IFERROR(IF(0=LEN(ReferenceData!$AT$8),"",ReferenceData!$AT$8),"")</f>
        <v/>
      </c>
      <c r="AU8" t="str">
        <f ca="1">IFERROR(IF(0=LEN(ReferenceData!$AU$8),"",ReferenceData!$AU$8),"")</f>
        <v/>
      </c>
      <c r="AV8" t="str">
        <f ca="1">IFERROR(IF(0=LEN(ReferenceData!$AV$8),"",ReferenceData!$AV$8),"")</f>
        <v/>
      </c>
      <c r="AW8" t="str">
        <f ca="1">IFERROR(IF(0=LEN(ReferenceData!$AW$8),"",ReferenceData!$AW$8),"")</f>
        <v/>
      </c>
      <c r="AX8" t="str">
        <f ca="1">IFERROR(IF(0=LEN(ReferenceData!$AX$8),"",ReferenceData!$AX$8),"")</f>
        <v/>
      </c>
      <c r="AY8" t="str">
        <f ca="1">IFERROR(IF(0=LEN(ReferenceData!$AY$8),"",ReferenceData!$AY$8),"")</f>
        <v/>
      </c>
      <c r="AZ8" t="str">
        <f ca="1">IFERROR(IF(0=LEN(ReferenceData!$AZ$8),"",ReferenceData!$AZ$8),"")</f>
        <v/>
      </c>
      <c r="BA8" t="str">
        <f ca="1">IFERROR(IF(0=LEN(ReferenceData!$BA$8),"",ReferenceData!$BA$8),"")</f>
        <v/>
      </c>
      <c r="BB8" t="str">
        <f ca="1">IFERROR(IF(0=LEN(ReferenceData!$BB$8),"",ReferenceData!$BB$8),"")</f>
        <v/>
      </c>
      <c r="BC8" t="str">
        <f ca="1">IFERROR(IF(0=LEN(ReferenceData!$BC$8),"",ReferenceData!$BC$8),"")</f>
        <v/>
      </c>
      <c r="BD8" t="str">
        <f ca="1">IFERROR(IF(0=LEN(ReferenceData!$BD$8),"",ReferenceData!$BD$8),"")</f>
        <v/>
      </c>
      <c r="BE8" t="str">
        <f ca="1">IFERROR(IF(0=LEN(ReferenceData!$BE$8),"",ReferenceData!$BE$8),"")</f>
        <v/>
      </c>
      <c r="BF8" t="str">
        <f ca="1">IFERROR(IF(0=LEN(ReferenceData!$BF$8),"",ReferenceData!$BF$8),"")</f>
        <v/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 t="str">
        <f ca="1">IFERROR(IF(0=LEN(ReferenceData!$BJ$8),"",ReferenceData!$BJ$8),"")</f>
        <v/>
      </c>
      <c r="BK8" t="str">
        <f ca="1">IFERROR(IF(0=LEN(ReferenceData!$BK$8),"",ReferenceData!$BK$8),"")</f>
        <v/>
      </c>
      <c r="BL8" t="str">
        <f ca="1">IFERROR(IF(0=LEN(ReferenceData!$BL$8),"",ReferenceData!$BL$8),"")</f>
        <v/>
      </c>
      <c r="BM8" t="str">
        <f ca="1">IFERROR(IF(0=LEN(ReferenceData!$BM$8),"",ReferenceData!$BM$8),"")</f>
        <v/>
      </c>
    </row>
    <row r="9" spans="1:65">
      <c r="A9" t="str">
        <f>IFERROR(IF(0=LEN(ReferenceData!$A$9),"",ReferenceData!$A$9),"")</f>
        <v xml:space="preserve">    East West Bancorp Inc</v>
      </c>
      <c r="B9" t="str">
        <f>IFERROR(IF(0=LEN(ReferenceData!$B$9),"",ReferenceData!$B$9),"")</f>
        <v>EWBC US Equity</v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Expression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 t="str">
        <f ca="1">IFERROR(IF(0=LEN(ReferenceData!$H$9),"",ReferenceData!$H$9),"")</f>
        <v/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  <c r="K9" t="str">
        <f ca="1">IFERROR(IF(0=LEN(ReferenceData!$K$9),"",ReferenceData!$K$9),"")</f>
        <v/>
      </c>
      <c r="L9" t="str">
        <f ca="1">IFERROR(IF(0=LEN(ReferenceData!$L$9),"",ReferenceData!$L$9),"")</f>
        <v/>
      </c>
      <c r="M9" t="str">
        <f ca="1">IFERROR(IF(0=LEN(ReferenceData!$M$9),"",ReferenceData!$M$9),"")</f>
        <v/>
      </c>
      <c r="N9" t="str">
        <f ca="1">IFERROR(IF(0=LEN(ReferenceData!$N$9),"",ReferenceData!$N$9),"")</f>
        <v/>
      </c>
      <c r="O9" t="str">
        <f ca="1">IFERROR(IF(0=LEN(ReferenceData!$O$9),"",ReferenceData!$O$9),"")</f>
        <v/>
      </c>
      <c r="P9" t="str">
        <f ca="1">IFERROR(IF(0=LEN(ReferenceData!$P$9),"",ReferenceData!$P$9),"")</f>
        <v/>
      </c>
      <c r="Q9" t="str">
        <f ca="1">IFERROR(IF(0=LEN(ReferenceData!$Q$9),"",ReferenceData!$Q$9),"")</f>
        <v/>
      </c>
      <c r="R9" t="str">
        <f ca="1">IFERROR(IF(0=LEN(ReferenceData!$R$9),"",ReferenceData!$R$9),"")</f>
        <v/>
      </c>
      <c r="S9" t="str">
        <f ca="1">IFERROR(IF(0=LEN(ReferenceData!$S$9),"",ReferenceData!$S$9),"")</f>
        <v/>
      </c>
      <c r="T9" t="str">
        <f ca="1">IFERROR(IF(0=LEN(ReferenceData!$T$9),"",ReferenceData!$T$9),"")</f>
        <v/>
      </c>
      <c r="U9" t="str">
        <f ca="1">IFERROR(IF(0=LEN(ReferenceData!$U$9),"",ReferenceData!$U$9),"")</f>
        <v/>
      </c>
      <c r="V9" t="str">
        <f ca="1">IFERROR(IF(0=LEN(ReferenceData!$V$9),"",ReferenceData!$V$9),"")</f>
        <v/>
      </c>
      <c r="W9" t="str">
        <f ca="1">IFERROR(IF(0=LEN(ReferenceData!$W$9),"",ReferenceData!$W$9),"")</f>
        <v/>
      </c>
      <c r="X9" t="str">
        <f ca="1">IFERROR(IF(0=LEN(ReferenceData!$X$9),"",ReferenceData!$X$9),"")</f>
        <v/>
      </c>
      <c r="Y9" t="str">
        <f ca="1">IFERROR(IF(0=LEN(ReferenceData!$Y$9),"",ReferenceData!$Y$9),"")</f>
        <v/>
      </c>
      <c r="Z9" t="str">
        <f ca="1">IFERROR(IF(0=LEN(ReferenceData!$Z$9),"",ReferenceData!$Z$9),"")</f>
        <v/>
      </c>
      <c r="AA9" t="str">
        <f ca="1">IFERROR(IF(0=LEN(ReferenceData!$AA$9),"",ReferenceData!$AA$9),"")</f>
        <v/>
      </c>
      <c r="AB9" t="str">
        <f ca="1">IFERROR(IF(0=LEN(ReferenceData!$AB$9),"",ReferenceData!$AB$9),"")</f>
        <v/>
      </c>
      <c r="AC9" t="str">
        <f ca="1">IFERROR(IF(0=LEN(ReferenceData!$AC$9),"",ReferenceData!$AC$9),"")</f>
        <v/>
      </c>
      <c r="AD9" t="str">
        <f ca="1">IFERROR(IF(0=LEN(ReferenceData!$AD$9),"",ReferenceData!$AD$9),"")</f>
        <v/>
      </c>
      <c r="AE9" t="str">
        <f ca="1">IFERROR(IF(0=LEN(ReferenceData!$AE$9),"",ReferenceData!$AE$9),"")</f>
        <v/>
      </c>
      <c r="AF9" t="str">
        <f ca="1">IFERROR(IF(0=LEN(ReferenceData!$AF$9),"",ReferenceData!$AF$9),"")</f>
        <v/>
      </c>
      <c r="AG9" t="str">
        <f ca="1">IFERROR(IF(0=LEN(ReferenceData!$AG$9),"",ReferenceData!$AG$9),"")</f>
        <v/>
      </c>
      <c r="AH9" t="str">
        <f ca="1">IFERROR(IF(0=LEN(ReferenceData!$AH$9),"",ReferenceData!$AH$9),"")</f>
        <v/>
      </c>
      <c r="AI9" t="str">
        <f ca="1">IFERROR(IF(0=LEN(ReferenceData!$AI$9),"",ReferenceData!$AI$9),"")</f>
        <v/>
      </c>
      <c r="AJ9" t="str">
        <f ca="1">IFERROR(IF(0=LEN(ReferenceData!$AJ$9),"",ReferenceData!$AJ$9),"")</f>
        <v/>
      </c>
      <c r="AK9" t="str">
        <f ca="1">IFERROR(IF(0=LEN(ReferenceData!$AK$9),"",ReferenceData!$AK$9),"")</f>
        <v/>
      </c>
      <c r="AL9" t="str">
        <f ca="1">IFERROR(IF(0=LEN(ReferenceData!$AL$9),"",ReferenceData!$AL$9),"")</f>
        <v/>
      </c>
      <c r="AM9" t="str">
        <f ca="1">IFERROR(IF(0=LEN(ReferenceData!$AM$9),"",ReferenceData!$AM$9),"")</f>
        <v/>
      </c>
      <c r="AN9" t="str">
        <f ca="1">IFERROR(IF(0=LEN(ReferenceData!$AN$9),"",ReferenceData!$AN$9),"")</f>
        <v/>
      </c>
      <c r="AO9" t="str">
        <f ca="1">IFERROR(IF(0=LEN(ReferenceData!$AO$9),"",ReferenceData!$AO$9),"")</f>
        <v/>
      </c>
      <c r="AP9" t="str">
        <f ca="1">IFERROR(IF(0=LEN(ReferenceData!$AP$9),"",ReferenceData!$AP$9),"")</f>
        <v/>
      </c>
      <c r="AQ9" t="str">
        <f ca="1">IFERROR(IF(0=LEN(ReferenceData!$AQ$9),"",ReferenceData!$AQ$9),"")</f>
        <v/>
      </c>
      <c r="AR9" t="str">
        <f ca="1">IFERROR(IF(0=LEN(ReferenceData!$AR$9),"",ReferenceData!$AR$9),"")</f>
        <v/>
      </c>
      <c r="AS9" t="str">
        <f ca="1">IFERROR(IF(0=LEN(ReferenceData!$AS$9),"",ReferenceData!$AS$9),"")</f>
        <v/>
      </c>
      <c r="AT9" t="str">
        <f ca="1">IFERROR(IF(0=LEN(ReferenceData!$AT$9),"",ReferenceData!$AT$9),"")</f>
        <v/>
      </c>
      <c r="AU9" t="str">
        <f ca="1">IFERROR(IF(0=LEN(ReferenceData!$AU$9),"",ReferenceData!$AU$9),"")</f>
        <v/>
      </c>
      <c r="AV9" t="str">
        <f ca="1">IFERROR(IF(0=LEN(ReferenceData!$AV$9),"",ReferenceData!$AV$9),"")</f>
        <v/>
      </c>
      <c r="AW9" t="str">
        <f ca="1">IFERROR(IF(0=LEN(ReferenceData!$AW$9),"",ReferenceData!$AW$9),"")</f>
        <v/>
      </c>
      <c r="AX9" t="str">
        <f ca="1">IFERROR(IF(0=LEN(ReferenceData!$AX$9),"",ReferenceData!$AX$9),"")</f>
        <v/>
      </c>
      <c r="AY9" t="str">
        <f ca="1">IFERROR(IF(0=LEN(ReferenceData!$AY$9),"",ReferenceData!$AY$9),"")</f>
        <v/>
      </c>
      <c r="AZ9" t="str">
        <f ca="1">IFERROR(IF(0=LEN(ReferenceData!$AZ$9),"",ReferenceData!$AZ$9),"")</f>
        <v/>
      </c>
      <c r="BA9" t="str">
        <f ca="1">IFERROR(IF(0=LEN(ReferenceData!$BA$9),"",ReferenceData!$BA$9),"")</f>
        <v/>
      </c>
      <c r="BB9" t="str">
        <f ca="1">IFERROR(IF(0=LEN(ReferenceData!$BB$9),"",ReferenceData!$BB$9),"")</f>
        <v/>
      </c>
      <c r="BC9" t="str">
        <f ca="1">IFERROR(IF(0=LEN(ReferenceData!$BC$9),"",ReferenceData!$BC$9),"")</f>
        <v/>
      </c>
      <c r="BD9" t="str">
        <f ca="1">IFERROR(IF(0=LEN(ReferenceData!$BD$9),"",ReferenceData!$BD$9),"")</f>
        <v/>
      </c>
      <c r="BE9" t="str">
        <f ca="1">IFERROR(IF(0=LEN(ReferenceData!$BE$9),"",ReferenceData!$BE$9),"")</f>
        <v/>
      </c>
      <c r="BF9" t="str">
        <f ca="1">IFERROR(IF(0=LEN(ReferenceData!$BF$9),"",ReferenceData!$BF$9),"")</f>
        <v/>
      </c>
      <c r="BG9" t="str">
        <f ca="1">IFERROR(IF(0=LEN(ReferenceData!$BG$9),"",ReferenceData!$BG$9),"")</f>
        <v/>
      </c>
      <c r="BH9" t="str">
        <f ca="1">IFERROR(IF(0=LEN(ReferenceData!$BH$9),"",ReferenceData!$BH$9),"")</f>
        <v/>
      </c>
      <c r="BI9" t="str">
        <f ca="1">IFERROR(IF(0=LEN(ReferenceData!$BI$9),"",ReferenceData!$BI$9),"")</f>
        <v/>
      </c>
      <c r="BJ9" t="str">
        <f ca="1">IFERROR(IF(0=LEN(ReferenceData!$BJ$9),"",ReferenceData!$BJ$9),"")</f>
        <v/>
      </c>
      <c r="BK9" t="str">
        <f ca="1">IFERROR(IF(0=LEN(ReferenceData!$BK$9),"",ReferenceData!$BK$9),"")</f>
        <v/>
      </c>
      <c r="BL9" t="str">
        <f ca="1">IFERROR(IF(0=LEN(ReferenceData!$BL$9),"",ReferenceData!$BL$9),"")</f>
        <v/>
      </c>
      <c r="BM9" t="str">
        <f ca="1">IFERROR(IF(0=LEN(ReferenceData!$BM$9),"",ReferenceData!$BM$9),"")</f>
        <v/>
      </c>
    </row>
    <row r="10" spans="1:65">
      <c r="A10" t="str">
        <f>IFERROR(IF(0=LEN(ReferenceData!$A$10),"",ReferenceData!$A$10),"")</f>
        <v xml:space="preserve">    Fifth Third Bancorp</v>
      </c>
      <c r="B10" t="str">
        <f>IFERROR(IF(0=LEN(ReferenceData!$B$10),"",ReferenceData!$B$10),"")</f>
        <v>FITB US Equity</v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Expression</v>
      </c>
      <c r="F10" t="str">
        <f ca="1">IFERROR(IF(0=LEN(ReferenceData!$F$10),"",ReferenceData!$F$10),"")</f>
        <v/>
      </c>
      <c r="G10">
        <f ca="1">IFERROR(IF(0=LEN(ReferenceData!$G$10),"",ReferenceData!$G$10),"")</f>
        <v>2.3452157599999999</v>
      </c>
      <c r="H10">
        <f ca="1">IFERROR(IF(0=LEN(ReferenceData!$H$10),"",ReferenceData!$H$10),"")</f>
        <v>2.4015369839999998</v>
      </c>
      <c r="I10">
        <f ca="1">IFERROR(IF(0=LEN(ReferenceData!$I$10),"",ReferenceData!$I$10),"")</f>
        <v>2.578796562</v>
      </c>
      <c r="J10">
        <f ca="1">IFERROR(IF(0=LEN(ReferenceData!$J$10),"",ReferenceData!$J$10),"")</f>
        <v>3.0555555559999998</v>
      </c>
      <c r="K10">
        <f ca="1">IFERROR(IF(0=LEN(ReferenceData!$K$10),"",ReferenceData!$K$10),"")</f>
        <v>2.6474686479999998</v>
      </c>
      <c r="L10">
        <f ca="1">IFERROR(IF(0=LEN(ReferenceData!$L$10),"",ReferenceData!$L$10),"")</f>
        <v>2.7027027029999999</v>
      </c>
      <c r="M10">
        <f ca="1">IFERROR(IF(0=LEN(ReferenceData!$M$10),"",ReferenceData!$M$10),"")</f>
        <v>3.1179394490000001</v>
      </c>
      <c r="N10">
        <f ca="1">IFERROR(IF(0=LEN(ReferenceData!$N$10),"",ReferenceData!$N$10),"")</f>
        <v>2.724913495</v>
      </c>
      <c r="O10">
        <f ca="1">IFERROR(IF(0=LEN(ReferenceData!$O$10),"",ReferenceData!$O$10),"")</f>
        <v>3.1797235019999999</v>
      </c>
      <c r="P10">
        <f ca="1">IFERROR(IF(0=LEN(ReferenceData!$P$10),"",ReferenceData!$P$10),"")</f>
        <v>1.538461538</v>
      </c>
      <c r="Q10">
        <f ca="1">IFERROR(IF(0=LEN(ReferenceData!$Q$10),"",ReferenceData!$Q$10),"")</f>
        <v>2.767429484</v>
      </c>
      <c r="R10">
        <f ca="1">IFERROR(IF(0=LEN(ReferenceData!$R$10),"",ReferenceData!$R$10),"")</f>
        <v>1.76056338</v>
      </c>
      <c r="S10">
        <f ca="1">IFERROR(IF(0=LEN(ReferenceData!$S$10),"",ReferenceData!$S$10),"")</f>
        <v>4.2469135800000002</v>
      </c>
      <c r="T10">
        <f ca="1">IFERROR(IF(0=LEN(ReferenceData!$T$10),"",ReferenceData!$T$10),"")</f>
        <v>3.2837352489999998</v>
      </c>
      <c r="U10">
        <f ca="1">IFERROR(IF(0=LEN(ReferenceData!$U$10),"",ReferenceData!$U$10),"")</f>
        <v>4.4155844159999997</v>
      </c>
      <c r="V10">
        <f ca="1">IFERROR(IF(0=LEN(ReferenceData!$V$10),"",ReferenceData!$V$10),"")</f>
        <v>1.269680041</v>
      </c>
      <c r="W10">
        <f ca="1">IFERROR(IF(0=LEN(ReferenceData!$W$10),"",ReferenceData!$W$10),"")</f>
        <v>4.0169133190000004</v>
      </c>
      <c r="X10">
        <f ca="1">IFERROR(IF(0=LEN(ReferenceData!$X$10),"",ReferenceData!$X$10),"")</f>
        <v>5.3513513509999999</v>
      </c>
      <c r="Y10">
        <f ca="1">IFERROR(IF(0=LEN(ReferenceData!$Y$10),"",ReferenceData!$Y$10),"")</f>
        <v>6.3157894739999998</v>
      </c>
      <c r="Z10">
        <f ca="1">IFERROR(IF(0=LEN(ReferenceData!$Z$10),"",ReferenceData!$Z$10),"")</f>
        <v>3.225806452</v>
      </c>
      <c r="AA10">
        <f ca="1">IFERROR(IF(0=LEN(ReferenceData!$AA$10),"",ReferenceData!$AA$10),"")</f>
        <v>4.7931382439999997</v>
      </c>
      <c r="AB10">
        <f ca="1">IFERROR(IF(0=LEN(ReferenceData!$AB$10),"",ReferenceData!$AB$10),"")</f>
        <v>3.3070866140000001</v>
      </c>
      <c r="AC10">
        <f ca="1">IFERROR(IF(0=LEN(ReferenceData!$AC$10),"",ReferenceData!$AC$10),"")</f>
        <v>2.5652771419999998</v>
      </c>
      <c r="AD10">
        <f ca="1">IFERROR(IF(0=LEN(ReferenceData!$AD$10),"",ReferenceData!$AD$10),"")</f>
        <v>3.2608695650000001</v>
      </c>
      <c r="AE10">
        <f ca="1">IFERROR(IF(0=LEN(ReferenceData!$AE$10),"",ReferenceData!$AE$10),"")</f>
        <v>3.0510585309999998</v>
      </c>
      <c r="AF10">
        <f ca="1">IFERROR(IF(0=LEN(ReferenceData!$AF$10),"",ReferenceData!$AF$10),"")</f>
        <v>3.0062393649999999</v>
      </c>
      <c r="AG10">
        <f ca="1">IFERROR(IF(0=LEN(ReferenceData!$AG$10),"",ReferenceData!$AG$10),"")</f>
        <v>2.9396325459999999</v>
      </c>
      <c r="AH10">
        <f ca="1">IFERROR(IF(0=LEN(ReferenceData!$AH$10),"",ReferenceData!$AH$10),"")</f>
        <v>3.5225048920000002</v>
      </c>
      <c r="AI10">
        <f ca="1">IFERROR(IF(0=LEN(ReferenceData!$AI$10),"",ReferenceData!$AI$10),"")</f>
        <v>2.4891347289999999</v>
      </c>
      <c r="AJ10">
        <f ca="1">IFERROR(IF(0=LEN(ReferenceData!$AJ$10),"",ReferenceData!$AJ$10),"")</f>
        <v>3.6593479709999999</v>
      </c>
      <c r="AK10">
        <f ca="1">IFERROR(IF(0=LEN(ReferenceData!$AK$10),"",ReferenceData!$AK$10),"")</f>
        <v>3.5714285710000002</v>
      </c>
      <c r="AL10">
        <f ca="1">IFERROR(IF(0=LEN(ReferenceData!$AL$10),"",ReferenceData!$AL$10),"")</f>
        <v>4.2678923180000004</v>
      </c>
      <c r="AM10">
        <f ca="1">IFERROR(IF(0=LEN(ReferenceData!$AM$10),"",ReferenceData!$AM$10),"")</f>
        <v>3.7779049800000002</v>
      </c>
      <c r="AN10">
        <f ca="1">IFERROR(IF(0=LEN(ReferenceData!$AN$10),"",ReferenceData!$AN$10),"")</f>
        <v>4.9966688870000002</v>
      </c>
      <c r="AO10">
        <f ca="1">IFERROR(IF(0=LEN(ReferenceData!$AO$10),"",ReferenceData!$AO$10),"")</f>
        <v>5.0649350650000002</v>
      </c>
      <c r="AP10">
        <f ca="1">IFERROR(IF(0=LEN(ReferenceData!$AP$10),"",ReferenceData!$AP$10),"")</f>
        <v>3.6944583130000002</v>
      </c>
      <c r="AQ10">
        <f ca="1">IFERROR(IF(0=LEN(ReferenceData!$AQ$10),"",ReferenceData!$AQ$10),"")</f>
        <v>4.3990086740000001</v>
      </c>
      <c r="AR10">
        <f ca="1">IFERROR(IF(0=LEN(ReferenceData!$AR$10),"",ReferenceData!$AR$10),"")</f>
        <v>8.1081081079999997</v>
      </c>
      <c r="AS10">
        <f ca="1">IFERROR(IF(0=LEN(ReferenceData!$AS$10),"",ReferenceData!$AS$10),"")</f>
        <v>5.8226134060000003</v>
      </c>
      <c r="AT10">
        <f ca="1">IFERROR(IF(0=LEN(ReferenceData!$AT$10),"",ReferenceData!$AT$10),"")</f>
        <v>3.9713541669999999</v>
      </c>
      <c r="AU10">
        <f ca="1">IFERROR(IF(0=LEN(ReferenceData!$AU$10),"",ReferenceData!$AU$10),"")</f>
        <v>4.2867182010000002</v>
      </c>
      <c r="AV10">
        <f ca="1">IFERROR(IF(0=LEN(ReferenceData!$AV$10),"",ReferenceData!$AV$10),"")</f>
        <v>4.7677261609999997</v>
      </c>
      <c r="AW10">
        <f ca="1">IFERROR(IF(0=LEN(ReferenceData!$AW$10),"",ReferenceData!$AW$10),"")</f>
        <v>7.4811256009999996</v>
      </c>
      <c r="AX10">
        <f ca="1">IFERROR(IF(0=LEN(ReferenceData!$AX$10),"",ReferenceData!$AX$10),"")</f>
        <v>7.8602620090000004</v>
      </c>
      <c r="AY10">
        <f ca="1">IFERROR(IF(0=LEN(ReferenceData!$AY$10),"",ReferenceData!$AY$10),"")</f>
        <v>7.4969021070000004</v>
      </c>
      <c r="AZ10">
        <f ca="1">IFERROR(IF(0=LEN(ReferenceData!$AZ$10),"",ReferenceData!$AZ$10),"")</f>
        <v>12.01030928</v>
      </c>
      <c r="BA10">
        <f ca="1">IFERROR(IF(0=LEN(ReferenceData!$BA$10),"",ReferenceData!$BA$10),"")</f>
        <v>13.488657269999999</v>
      </c>
      <c r="BB10">
        <f ca="1">IFERROR(IF(0=LEN(ReferenceData!$BB$10),"",ReferenceData!$BB$10),"")</f>
        <v>14.50252951</v>
      </c>
      <c r="BC10">
        <f ca="1">IFERROR(IF(0=LEN(ReferenceData!$BC$10),"",ReferenceData!$BC$10),"")</f>
        <v>12.706480300000001</v>
      </c>
      <c r="BD10">
        <f ca="1">IFERROR(IF(0=LEN(ReferenceData!$BD$10),"",ReferenceData!$BD$10),"")</f>
        <v>11.633820719999999</v>
      </c>
      <c r="BE10">
        <f ca="1">IFERROR(IF(0=LEN(ReferenceData!$BE$10),"",ReferenceData!$BE$10),"")</f>
        <v>12.237552490000001</v>
      </c>
      <c r="BF10">
        <f ca="1">IFERROR(IF(0=LEN(ReferenceData!$BF$10),"",ReferenceData!$BF$10),"")</f>
        <v>10.641200550000001</v>
      </c>
      <c r="BG10">
        <f ca="1">IFERROR(IF(0=LEN(ReferenceData!$BG$10),"",ReferenceData!$BG$10),"")</f>
        <v>11.388355730000001</v>
      </c>
      <c r="BH10">
        <f ca="1">IFERROR(IF(0=LEN(ReferenceData!$BH$10),"",ReferenceData!$BH$10),"")</f>
        <v>10.65789474</v>
      </c>
      <c r="BI10">
        <f ca="1">IFERROR(IF(0=LEN(ReferenceData!$BI$10),"",ReferenceData!$BI$10),"")</f>
        <v>6.9719753930000001</v>
      </c>
      <c r="BJ10">
        <f ca="1">IFERROR(IF(0=LEN(ReferenceData!$BJ$10),"",ReferenceData!$BJ$10),"")</f>
        <v>9.4904458599999995</v>
      </c>
      <c r="BK10">
        <f ca="1">IFERROR(IF(0=LEN(ReferenceData!$BK$10),"",ReferenceData!$BK$10),"")</f>
        <v>13.341000579999999</v>
      </c>
      <c r="BL10">
        <f ca="1">IFERROR(IF(0=LEN(ReferenceData!$BL$10),"",ReferenceData!$BL$10),"")</f>
        <v>7.5898801599999999</v>
      </c>
      <c r="BM10" t="str">
        <f ca="1">IFERROR(IF(0=LEN(ReferenceData!$BM$10),"",ReferenceData!$BM$10),"")</f>
        <v/>
      </c>
    </row>
    <row r="11" spans="1:65">
      <c r="A11" t="str">
        <f>IFERROR(IF(0=LEN(ReferenceData!$A$11),"",ReferenceData!$A$11),"")</f>
        <v xml:space="preserve">    First Citizens BancShares Inc/</v>
      </c>
      <c r="B11" t="str">
        <f>IFERROR(IF(0=LEN(ReferenceData!$B$11),"",ReferenceData!$B$11),"")</f>
        <v>FCNCA US Equity</v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Expression</v>
      </c>
      <c r="F11" t="str">
        <f ca="1">IFERROR(IF(0=LEN(ReferenceData!$F$11),"",ReferenceData!$F$11),"")</f>
        <v/>
      </c>
      <c r="G11" t="str">
        <f ca="1">IFERROR(IF(0=LEN(ReferenceData!$G$11),"",ReferenceData!$G$11),"")</f>
        <v/>
      </c>
      <c r="H11" t="str">
        <f ca="1">IFERROR(IF(0=LEN(ReferenceData!$H$11),"",ReferenceData!$H$11),"")</f>
        <v/>
      </c>
      <c r="I11" t="str">
        <f ca="1">IFERROR(IF(0=LEN(ReferenceData!$I$11),"",ReferenceData!$I$11),"")</f>
        <v/>
      </c>
      <c r="J11" t="str">
        <f ca="1">IFERROR(IF(0=LEN(ReferenceData!$J$11),"",ReferenceData!$J$11),"")</f>
        <v/>
      </c>
      <c r="K11" t="str">
        <f ca="1">IFERROR(IF(0=LEN(ReferenceData!$K$11),"",ReferenceData!$K$11),"")</f>
        <v/>
      </c>
      <c r="L11" t="str">
        <f ca="1">IFERROR(IF(0=LEN(ReferenceData!$L$11),"",ReferenceData!$L$11),"")</f>
        <v/>
      </c>
      <c r="M11" t="str">
        <f ca="1">IFERROR(IF(0=LEN(ReferenceData!$M$11),"",ReferenceData!$M$11),"")</f>
        <v/>
      </c>
      <c r="N11" t="str">
        <f ca="1">IFERROR(IF(0=LEN(ReferenceData!$N$11),"",ReferenceData!$N$11),"")</f>
        <v/>
      </c>
      <c r="O11" t="str">
        <f ca="1">IFERROR(IF(0=LEN(ReferenceData!$O$11),"",ReferenceData!$O$11),"")</f>
        <v/>
      </c>
      <c r="P11" t="str">
        <f ca="1">IFERROR(IF(0=LEN(ReferenceData!$P$11),"",ReferenceData!$P$11),"")</f>
        <v/>
      </c>
      <c r="Q11" t="str">
        <f ca="1">IFERROR(IF(0=LEN(ReferenceData!$Q$11),"",ReferenceData!$Q$11),"")</f>
        <v/>
      </c>
      <c r="R11" t="str">
        <f ca="1">IFERROR(IF(0=LEN(ReferenceData!$R$11),"",ReferenceData!$R$11),"")</f>
        <v/>
      </c>
      <c r="S11" t="str">
        <f ca="1">IFERROR(IF(0=LEN(ReferenceData!$S$11),"",ReferenceData!$S$11),"")</f>
        <v/>
      </c>
      <c r="T11" t="str">
        <f ca="1">IFERROR(IF(0=LEN(ReferenceData!$T$11),"",ReferenceData!$T$11),"")</f>
        <v/>
      </c>
      <c r="U11" t="str">
        <f ca="1">IFERROR(IF(0=LEN(ReferenceData!$U$11),"",ReferenceData!$U$11),"")</f>
        <v/>
      </c>
      <c r="V11" t="str">
        <f ca="1">IFERROR(IF(0=LEN(ReferenceData!$V$11),"",ReferenceData!$V$11),"")</f>
        <v/>
      </c>
      <c r="W11" t="str">
        <f ca="1">IFERROR(IF(0=LEN(ReferenceData!$W$11),"",ReferenceData!$W$11),"")</f>
        <v/>
      </c>
      <c r="X11" t="str">
        <f ca="1">IFERROR(IF(0=LEN(ReferenceData!$X$11),"",ReferenceData!$X$11),"")</f>
        <v/>
      </c>
      <c r="Y11" t="str">
        <f ca="1">IFERROR(IF(0=LEN(ReferenceData!$Y$11),"",ReferenceData!$Y$11),"")</f>
        <v/>
      </c>
      <c r="Z11" t="str">
        <f ca="1">IFERROR(IF(0=LEN(ReferenceData!$Z$11),"",ReferenceData!$Z$11),"")</f>
        <v/>
      </c>
      <c r="AA11" t="str">
        <f ca="1">IFERROR(IF(0=LEN(ReferenceData!$AA$11),"",ReferenceData!$AA$11),"")</f>
        <v/>
      </c>
      <c r="AB11" t="str">
        <f ca="1">IFERROR(IF(0=LEN(ReferenceData!$AB$11),"",ReferenceData!$AB$11),"")</f>
        <v/>
      </c>
      <c r="AC11" t="str">
        <f ca="1">IFERROR(IF(0=LEN(ReferenceData!$AC$11),"",ReferenceData!$AC$11),"")</f>
        <v/>
      </c>
      <c r="AD11" t="str">
        <f ca="1">IFERROR(IF(0=LEN(ReferenceData!$AD$11),"",ReferenceData!$AD$11),"")</f>
        <v/>
      </c>
      <c r="AE11" t="str">
        <f ca="1">IFERROR(IF(0=LEN(ReferenceData!$AE$11),"",ReferenceData!$AE$11),"")</f>
        <v/>
      </c>
      <c r="AF11" t="str">
        <f ca="1">IFERROR(IF(0=LEN(ReferenceData!$AF$11),"",ReferenceData!$AF$11),"")</f>
        <v/>
      </c>
      <c r="AG11" t="str">
        <f ca="1">IFERROR(IF(0=LEN(ReferenceData!$AG$11),"",ReferenceData!$AG$11),"")</f>
        <v/>
      </c>
      <c r="AH11" t="str">
        <f ca="1">IFERROR(IF(0=LEN(ReferenceData!$AH$11),"",ReferenceData!$AH$11),"")</f>
        <v/>
      </c>
      <c r="AI11" t="str">
        <f ca="1">IFERROR(IF(0=LEN(ReferenceData!$AI$11),"",ReferenceData!$AI$11),"")</f>
        <v/>
      </c>
      <c r="AJ11" t="str">
        <f ca="1">IFERROR(IF(0=LEN(ReferenceData!$AJ$11),"",ReferenceData!$AJ$11),"")</f>
        <v/>
      </c>
      <c r="AK11" t="str">
        <f ca="1">IFERROR(IF(0=LEN(ReferenceData!$AK$11),"",ReferenceData!$AK$11),"")</f>
        <v/>
      </c>
      <c r="AL11" t="str">
        <f ca="1">IFERROR(IF(0=LEN(ReferenceData!$AL$11),"",ReferenceData!$AL$11),"")</f>
        <v/>
      </c>
      <c r="AM11" t="str">
        <f ca="1">IFERROR(IF(0=LEN(ReferenceData!$AM$11),"",ReferenceData!$AM$11),"")</f>
        <v/>
      </c>
      <c r="AN11" t="str">
        <f ca="1">IFERROR(IF(0=LEN(ReferenceData!$AN$11),"",ReferenceData!$AN$11),"")</f>
        <v/>
      </c>
      <c r="AO11" t="str">
        <f ca="1">IFERROR(IF(0=LEN(ReferenceData!$AO$11),"",ReferenceData!$AO$11),"")</f>
        <v/>
      </c>
      <c r="AP11" t="str">
        <f ca="1">IFERROR(IF(0=LEN(ReferenceData!$AP$11),"",ReferenceData!$AP$11),"")</f>
        <v/>
      </c>
      <c r="AQ11" t="str">
        <f ca="1">IFERROR(IF(0=LEN(ReferenceData!$AQ$11),"",ReferenceData!$AQ$11),"")</f>
        <v/>
      </c>
      <c r="AR11" t="str">
        <f ca="1">IFERROR(IF(0=LEN(ReferenceData!$AR$11),"",ReferenceData!$AR$11),"")</f>
        <v/>
      </c>
      <c r="AS11" t="str">
        <f ca="1">IFERROR(IF(0=LEN(ReferenceData!$AS$11),"",ReferenceData!$AS$11),"")</f>
        <v/>
      </c>
      <c r="AT11" t="str">
        <f ca="1">IFERROR(IF(0=LEN(ReferenceData!$AT$11),"",ReferenceData!$AT$11),"")</f>
        <v/>
      </c>
      <c r="AU11" t="str">
        <f ca="1">IFERROR(IF(0=LEN(ReferenceData!$AU$11),"",ReferenceData!$AU$11),"")</f>
        <v/>
      </c>
      <c r="AV11" t="str">
        <f ca="1">IFERROR(IF(0=LEN(ReferenceData!$AV$11),"",ReferenceData!$AV$11),"")</f>
        <v/>
      </c>
      <c r="AW11" t="str">
        <f ca="1">IFERROR(IF(0=LEN(ReferenceData!$AW$11),"",ReferenceData!$AW$11),"")</f>
        <v/>
      </c>
      <c r="AX11" t="str">
        <f ca="1">IFERROR(IF(0=LEN(ReferenceData!$AX$11),"",ReferenceData!$AX$11),"")</f>
        <v/>
      </c>
      <c r="AY11" t="str">
        <f ca="1">IFERROR(IF(0=LEN(ReferenceData!$AY$11),"",ReferenceData!$AY$11),"")</f>
        <v/>
      </c>
      <c r="AZ11" t="str">
        <f ca="1">IFERROR(IF(0=LEN(ReferenceData!$AZ$11),"",ReferenceData!$AZ$11),"")</f>
        <v/>
      </c>
      <c r="BA11" t="str">
        <f ca="1">IFERROR(IF(0=LEN(ReferenceData!$BA$11),"",ReferenceData!$BA$11),"")</f>
        <v/>
      </c>
      <c r="BB11" t="str">
        <f ca="1">IFERROR(IF(0=LEN(ReferenceData!$BB$11),"",ReferenceData!$BB$11),"")</f>
        <v/>
      </c>
      <c r="BC11" t="str">
        <f ca="1">IFERROR(IF(0=LEN(ReferenceData!$BC$11),"",ReferenceData!$BC$11),"")</f>
        <v/>
      </c>
      <c r="BD11" t="str">
        <f ca="1">IFERROR(IF(0=LEN(ReferenceData!$BD$11),"",ReferenceData!$BD$11),"")</f>
        <v/>
      </c>
      <c r="BE11" t="str">
        <f ca="1">IFERROR(IF(0=LEN(ReferenceData!$BE$11),"",ReferenceData!$BE$11),"")</f>
        <v/>
      </c>
      <c r="BF11" t="str">
        <f ca="1">IFERROR(IF(0=LEN(ReferenceData!$BF$11),"",ReferenceData!$BF$11),"")</f>
        <v/>
      </c>
      <c r="BG11" t="str">
        <f ca="1">IFERROR(IF(0=LEN(ReferenceData!$BG$11),"",ReferenceData!$BG$11),"")</f>
        <v/>
      </c>
      <c r="BH11" t="str">
        <f ca="1">IFERROR(IF(0=LEN(ReferenceData!$BH$11),"",ReferenceData!$BH$11),"")</f>
        <v/>
      </c>
      <c r="BI11" t="str">
        <f ca="1">IFERROR(IF(0=LEN(ReferenceData!$BI$11),"",ReferenceData!$BI$11),"")</f>
        <v/>
      </c>
      <c r="BJ11" t="str">
        <f ca="1">IFERROR(IF(0=LEN(ReferenceData!$BJ$11),"",ReferenceData!$BJ$11),"")</f>
        <v/>
      </c>
      <c r="BK11" t="str">
        <f ca="1">IFERROR(IF(0=LEN(ReferenceData!$BK$11),"",ReferenceData!$BK$11),"")</f>
        <v/>
      </c>
      <c r="BL11" t="str">
        <f ca="1">IFERROR(IF(0=LEN(ReferenceData!$BL$11),"",ReferenceData!$BL$11),"")</f>
        <v/>
      </c>
      <c r="BM11" t="str">
        <f ca="1">IFERROR(IF(0=LEN(ReferenceData!$BM$11),"",ReferenceData!$BM$11),"")</f>
        <v/>
      </c>
    </row>
    <row r="12" spans="1:65">
      <c r="A12" t="str">
        <f>IFERROR(IF(0=LEN(ReferenceData!$A$12),"",ReferenceData!$A$12),"")</f>
        <v xml:space="preserve">    Flagstar Financial Inc</v>
      </c>
      <c r="B12" t="str">
        <f>IFERROR(IF(0=LEN(ReferenceData!$B$12),"",ReferenceData!$B$12),"")</f>
        <v>FLG US Equity</v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Expression</v>
      </c>
      <c r="F12" t="str">
        <f ca="1">IFERROR(IF(0=LEN(ReferenceData!$F$12),"",ReferenceData!$F$12),"")</f>
        <v/>
      </c>
      <c r="G12">
        <f ca="1">IFERROR(IF(0=LEN(ReferenceData!$G$12),"",ReferenceData!$G$12),"")</f>
        <v>5.457463884</v>
      </c>
      <c r="H12">
        <f ca="1">IFERROR(IF(0=LEN(ReferenceData!$H$12),"",ReferenceData!$H$12),"")</f>
        <v>2.8315946350000001</v>
      </c>
      <c r="I12">
        <f ca="1">IFERROR(IF(0=LEN(ReferenceData!$I$12),"",ReferenceData!$I$12),"")</f>
        <v>3.3175355450000001</v>
      </c>
      <c r="J12" t="str">
        <f ca="1">IFERROR(IF(0=LEN(ReferenceData!$J$12),"",ReferenceData!$J$12),"")</f>
        <v/>
      </c>
      <c r="K12">
        <f ca="1">IFERROR(IF(0=LEN(ReferenceData!$K$12),"",ReferenceData!$K$12),"")</f>
        <v>2.207293666</v>
      </c>
      <c r="L12">
        <f ca="1">IFERROR(IF(0=LEN(ReferenceData!$L$12),"",ReferenceData!$L$12),"")</f>
        <v>2.0798668889999998</v>
      </c>
      <c r="M12">
        <f ca="1">IFERROR(IF(0=LEN(ReferenceData!$M$12),"",ReferenceData!$M$12),"")</f>
        <v>0.82924990600000004</v>
      </c>
      <c r="N12">
        <f ca="1">IFERROR(IF(0=LEN(ReferenceData!$N$12),"",ReferenceData!$N$12),"")</f>
        <v>1.039861352</v>
      </c>
      <c r="O12" t="str">
        <f ca="1">IFERROR(IF(0=LEN(ReferenceData!$O$12),"",ReferenceData!$O$12),"")</f>
        <v/>
      </c>
      <c r="P12" t="str">
        <f ca="1">IFERROR(IF(0=LEN(ReferenceData!$P$12),"",ReferenceData!$P$12),"")</f>
        <v/>
      </c>
      <c r="Q12" t="str">
        <f ca="1">IFERROR(IF(0=LEN(ReferenceData!$Q$12),"",ReferenceData!$Q$12),"")</f>
        <v/>
      </c>
      <c r="R12" t="str">
        <f ca="1">IFERROR(IF(0=LEN(ReferenceData!$R$12),"",ReferenceData!$R$12),"")</f>
        <v/>
      </c>
      <c r="S12" t="str">
        <f ca="1">IFERROR(IF(0=LEN(ReferenceData!$S$12),"",ReferenceData!$S$12),"")</f>
        <v/>
      </c>
      <c r="T12" t="str">
        <f ca="1">IFERROR(IF(0=LEN(ReferenceData!$T$12),"",ReferenceData!$T$12),"")</f>
        <v/>
      </c>
      <c r="U12" t="str">
        <f ca="1">IFERROR(IF(0=LEN(ReferenceData!$U$12),"",ReferenceData!$U$12),"")</f>
        <v/>
      </c>
      <c r="V12">
        <f ca="1">IFERROR(IF(0=LEN(ReferenceData!$V$12),"",ReferenceData!$V$12),"")</f>
        <v>0</v>
      </c>
      <c r="W12" t="str">
        <f ca="1">IFERROR(IF(0=LEN(ReferenceData!$W$12),"",ReferenceData!$W$12),"")</f>
        <v/>
      </c>
      <c r="X12" t="str">
        <f ca="1">IFERROR(IF(0=LEN(ReferenceData!$X$12),"",ReferenceData!$X$12),"")</f>
        <v/>
      </c>
      <c r="Y12" t="str">
        <f ca="1">IFERROR(IF(0=LEN(ReferenceData!$Y$12),"",ReferenceData!$Y$12),"")</f>
        <v/>
      </c>
      <c r="Z12">
        <f ca="1">IFERROR(IF(0=LEN(ReferenceData!$Z$12),"",ReferenceData!$Z$12),"")</f>
        <v>0</v>
      </c>
      <c r="AA12" t="str">
        <f ca="1">IFERROR(IF(0=LEN(ReferenceData!$AA$12),"",ReferenceData!$AA$12),"")</f>
        <v/>
      </c>
      <c r="AB12">
        <f ca="1">IFERROR(IF(0=LEN(ReferenceData!$AB$12),"",ReferenceData!$AB$12),"")</f>
        <v>0</v>
      </c>
      <c r="AC12" t="str">
        <f ca="1">IFERROR(IF(0=LEN(ReferenceData!$AC$12),"",ReferenceData!$AC$12),"")</f>
        <v/>
      </c>
      <c r="AD12">
        <f ca="1">IFERROR(IF(0=LEN(ReferenceData!$AD$12),"",ReferenceData!$AD$12),"")</f>
        <v>0</v>
      </c>
      <c r="AE12">
        <f ca="1">IFERROR(IF(0=LEN(ReferenceData!$AE$12),"",ReferenceData!$AE$12),"")</f>
        <v>0</v>
      </c>
      <c r="AF12">
        <f ca="1">IFERROR(IF(0=LEN(ReferenceData!$AF$12),"",ReferenceData!$AF$12),"")</f>
        <v>0</v>
      </c>
      <c r="AG12">
        <f ca="1">IFERROR(IF(0=LEN(ReferenceData!$AG$12),"",ReferenceData!$AG$12),"")</f>
        <v>0</v>
      </c>
      <c r="AH12">
        <f ca="1">IFERROR(IF(0=LEN(ReferenceData!$AH$12),"",ReferenceData!$AH$12),"")</f>
        <v>0</v>
      </c>
      <c r="AI12">
        <f ca="1">IFERROR(IF(0=LEN(ReferenceData!$AI$12),"",ReferenceData!$AI$12),"")</f>
        <v>0.38570253199999999</v>
      </c>
      <c r="AJ12">
        <f ca="1">IFERROR(IF(0=LEN(ReferenceData!$AJ$12),"",ReferenceData!$AJ$12),"")</f>
        <v>2.4233751030000001</v>
      </c>
      <c r="AK12">
        <f ca="1">IFERROR(IF(0=LEN(ReferenceData!$AK$12),"",ReferenceData!$AK$12),"")</f>
        <v>2.9851202579999998</v>
      </c>
      <c r="AL12">
        <f ca="1">IFERROR(IF(0=LEN(ReferenceData!$AL$12),"",ReferenceData!$AL$12),"")</f>
        <v>0.93735448200000004</v>
      </c>
      <c r="AM12">
        <f ca="1">IFERROR(IF(0=LEN(ReferenceData!$AM$12),"",ReferenceData!$AM$12),"")</f>
        <v>3.6000980450000002</v>
      </c>
      <c r="AN12">
        <f ca="1">IFERROR(IF(0=LEN(ReferenceData!$AN$12),"",ReferenceData!$AN$12),"")</f>
        <v>1.9168510409999999</v>
      </c>
      <c r="AO12">
        <f ca="1">IFERROR(IF(0=LEN(ReferenceData!$AO$12),"",ReferenceData!$AO$12),"")</f>
        <v>1.13962154</v>
      </c>
      <c r="AP12">
        <f ca="1">IFERROR(IF(0=LEN(ReferenceData!$AP$12),"",ReferenceData!$AP$12),"")</f>
        <v>-3.143574063</v>
      </c>
      <c r="AQ12">
        <f ca="1">IFERROR(IF(0=LEN(ReferenceData!$AQ$12),"",ReferenceData!$AQ$12),"")</f>
        <v>2.357736144</v>
      </c>
      <c r="AR12">
        <f ca="1">IFERROR(IF(0=LEN(ReferenceData!$AR$12),"",ReferenceData!$AR$12),"")</f>
        <v>4.6017556300000004</v>
      </c>
      <c r="AS12">
        <f ca="1">IFERROR(IF(0=LEN(ReferenceData!$AS$12),"",ReferenceData!$AS$12),"")</f>
        <v>5.3350415360000003</v>
      </c>
      <c r="AT12">
        <f ca="1">IFERROR(IF(0=LEN(ReferenceData!$AT$12),"",ReferenceData!$AT$12),"")</f>
        <v>4.6436507689999997</v>
      </c>
      <c r="AU12">
        <f ca="1">IFERROR(IF(0=LEN(ReferenceData!$AU$12),"",ReferenceData!$AU$12),"")</f>
        <v>5.0273224040000004</v>
      </c>
      <c r="AV12">
        <f ca="1">IFERROR(IF(0=LEN(ReferenceData!$AV$12),"",ReferenceData!$AV$12),"")</f>
        <v>4.5497418810000001</v>
      </c>
      <c r="AW12">
        <f ca="1">IFERROR(IF(0=LEN(ReferenceData!$AW$12),"",ReferenceData!$AW$12),"")</f>
        <v>4.5459495619999997</v>
      </c>
      <c r="AX12">
        <f ca="1">IFERROR(IF(0=LEN(ReferenceData!$AX$12),"",ReferenceData!$AX$12),"")</f>
        <v>3.794011335</v>
      </c>
      <c r="AY12">
        <f ca="1">IFERROR(IF(0=LEN(ReferenceData!$AY$12),"",ReferenceData!$AY$12),"")</f>
        <v>4.6977141949999996</v>
      </c>
      <c r="AZ12">
        <f ca="1">IFERROR(IF(0=LEN(ReferenceData!$AZ$12),"",ReferenceData!$AZ$12),"")</f>
        <v>6.5650724350000003</v>
      </c>
      <c r="BA12">
        <f ca="1">IFERROR(IF(0=LEN(ReferenceData!$BA$12),"",ReferenceData!$BA$12),"")</f>
        <v>7.4442515120000001</v>
      </c>
      <c r="BB12">
        <f ca="1">IFERROR(IF(0=LEN(ReferenceData!$BB$12),"",ReferenceData!$BB$12),"")</f>
        <v>9.4281844069999998</v>
      </c>
      <c r="BC12">
        <f ca="1">IFERROR(IF(0=LEN(ReferenceData!$BC$12),"",ReferenceData!$BC$12),"")</f>
        <v>14.34260666</v>
      </c>
      <c r="BD12">
        <f ca="1">IFERROR(IF(0=LEN(ReferenceData!$BD$12),"",ReferenceData!$BD$12),"")</f>
        <v>14.770514179999999</v>
      </c>
      <c r="BE12">
        <f ca="1">IFERROR(IF(0=LEN(ReferenceData!$BE$12),"",ReferenceData!$BE$12),"")</f>
        <v>10.035387119999999</v>
      </c>
      <c r="BF12">
        <f ca="1">IFERROR(IF(0=LEN(ReferenceData!$BF$12),"",ReferenceData!$BF$12),"")</f>
        <v>6.8574730009999998</v>
      </c>
      <c r="BG12">
        <f ca="1">IFERROR(IF(0=LEN(ReferenceData!$BG$12),"",ReferenceData!$BG$12),"")</f>
        <v>6.8757860390000003</v>
      </c>
      <c r="BH12">
        <f ca="1">IFERROR(IF(0=LEN(ReferenceData!$BH$12),"",ReferenceData!$BH$12),"")</f>
        <v>3.2630143669999998</v>
      </c>
      <c r="BI12">
        <f ca="1">IFERROR(IF(0=LEN(ReferenceData!$BI$12),"",ReferenceData!$BI$12),"")</f>
        <v>5.5098352410000002</v>
      </c>
      <c r="BJ12">
        <f ca="1">IFERROR(IF(0=LEN(ReferenceData!$BJ$12),"",ReferenceData!$BJ$12),"")</f>
        <v>9.8924678509999993</v>
      </c>
      <c r="BK12">
        <f ca="1">IFERROR(IF(0=LEN(ReferenceData!$BK$12),"",ReferenceData!$BK$12),"")</f>
        <v>19.44234676</v>
      </c>
      <c r="BL12">
        <f ca="1">IFERROR(IF(0=LEN(ReferenceData!$BL$12),"",ReferenceData!$BL$12),"")</f>
        <v>10.770975979999999</v>
      </c>
      <c r="BM12" t="str">
        <f ca="1">IFERROR(IF(0=LEN(ReferenceData!$BM$12),"",ReferenceData!$BM$12),"")</f>
        <v/>
      </c>
    </row>
    <row r="13" spans="1:65">
      <c r="A13" t="str">
        <f>IFERROR(IF(0=LEN(ReferenceData!$A$13),"",ReferenceData!$A$13),"")</f>
        <v xml:space="preserve">    Huntington Bancshares Inc/OH</v>
      </c>
      <c r="B13" t="str">
        <f>IFERROR(IF(0=LEN(ReferenceData!$B$13),"",ReferenceData!$B$13),"")</f>
        <v>HBAN US Equity</v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Expression</v>
      </c>
      <c r="F13" t="str">
        <f ca="1">IFERROR(IF(0=LEN(ReferenceData!$F$13),"",ReferenceData!$F$13),"")</f>
        <v/>
      </c>
      <c r="G13">
        <f ca="1">IFERROR(IF(0=LEN(ReferenceData!$G$13),"",ReferenceData!$G$13),"")</f>
        <v>2.0277481320000001</v>
      </c>
      <c r="H13">
        <f ca="1">IFERROR(IF(0=LEN(ReferenceData!$H$13),"",ReferenceData!$H$13),"")</f>
        <v>1.6638935109999999</v>
      </c>
      <c r="I13">
        <f ca="1">IFERROR(IF(0=LEN(ReferenceData!$I$13),"",ReferenceData!$I$13),"")</f>
        <v>1.7673888259999999</v>
      </c>
      <c r="J13">
        <f ca="1">IFERROR(IF(0=LEN(ReferenceData!$J$13),"",ReferenceData!$J$13),"")</f>
        <v>1.3364323069999999</v>
      </c>
      <c r="K13">
        <f ca="1">IFERROR(IF(0=LEN(ReferenceData!$K$13),"",ReferenceData!$K$13),"")</f>
        <v>1.438465637</v>
      </c>
      <c r="L13">
        <f ca="1">IFERROR(IF(0=LEN(ReferenceData!$L$13),"",ReferenceData!$L$13),"")</f>
        <v>1.792504074</v>
      </c>
      <c r="M13">
        <f ca="1">IFERROR(IF(0=LEN(ReferenceData!$M$13),"",ReferenceData!$M$13),"")</f>
        <v>1.3534617390000001</v>
      </c>
      <c r="N13">
        <f ca="1">IFERROR(IF(0=LEN(ReferenceData!$N$13),"",ReferenceData!$N$13),"")</f>
        <v>1.274859765</v>
      </c>
      <c r="O13">
        <f ca="1">IFERROR(IF(0=LEN(ReferenceData!$O$13),"",ReferenceData!$O$13),"")</f>
        <v>1.366982124</v>
      </c>
      <c r="P13">
        <f ca="1">IFERROR(IF(0=LEN(ReferenceData!$P$13),"",ReferenceData!$P$13),"")</f>
        <v>2.5200458189999999</v>
      </c>
      <c r="Q13">
        <f ca="1">IFERROR(IF(0=LEN(ReferenceData!$Q$13),"",ReferenceData!$Q$13),"")</f>
        <v>2.9787234040000001</v>
      </c>
      <c r="R13">
        <f ca="1">IFERROR(IF(0=LEN(ReferenceData!$R$13),"",ReferenceData!$R$13),"")</f>
        <v>3.703703704</v>
      </c>
      <c r="S13">
        <f ca="1">IFERROR(IF(0=LEN(ReferenceData!$S$13),"",ReferenceData!$S$13),"")</f>
        <v>4.7787610620000001</v>
      </c>
      <c r="T13">
        <f ca="1">IFERROR(IF(0=LEN(ReferenceData!$T$13),"",ReferenceData!$T$13),"")</f>
        <v>5.2262090480000003</v>
      </c>
      <c r="U13">
        <f ca="1">IFERROR(IF(0=LEN(ReferenceData!$U$13),"",ReferenceData!$U$13),"")</f>
        <v>7.3152889539999997</v>
      </c>
      <c r="V13">
        <f ca="1">IFERROR(IF(0=LEN(ReferenceData!$V$13),"",ReferenceData!$V$13),"")</f>
        <v>7.2933549429999998</v>
      </c>
      <c r="W13">
        <f ca="1">IFERROR(IF(0=LEN(ReferenceData!$W$13),"",ReferenceData!$W$13),"")</f>
        <v>9.7834803529999999</v>
      </c>
      <c r="X13">
        <f ca="1">IFERROR(IF(0=LEN(ReferenceData!$X$13),"",ReferenceData!$X$13),"")</f>
        <v>8.1149619610000006</v>
      </c>
      <c r="Y13">
        <f ca="1">IFERROR(IF(0=LEN(ReferenceData!$Y$13),"",ReferenceData!$Y$13),"")</f>
        <v>5.0390964379999996</v>
      </c>
      <c r="Z13">
        <f ca="1">IFERROR(IF(0=LEN(ReferenceData!$Z$13),"",ReferenceData!$Z$13),"")</f>
        <v>5.0347222220000001</v>
      </c>
      <c r="AA13">
        <f ca="1">IFERROR(IF(0=LEN(ReferenceData!$AA$13),"",ReferenceData!$AA$13),"")</f>
        <v>4.5454545450000001</v>
      </c>
      <c r="AB13">
        <f ca="1">IFERROR(IF(0=LEN(ReferenceData!$AB$13),"",ReferenceData!$AB$13),"")</f>
        <v>2.866779089</v>
      </c>
      <c r="AC13">
        <f ca="1">IFERROR(IF(0=LEN(ReferenceData!$AC$13),"",ReferenceData!$AC$13),"")</f>
        <v>1.840490798</v>
      </c>
      <c r="AD13">
        <f ca="1">IFERROR(IF(0=LEN(ReferenceData!$AD$13),"",ReferenceData!$AD$13),"")</f>
        <v>1.9793459550000001</v>
      </c>
      <c r="AE13">
        <f ca="1">IFERROR(IF(0=LEN(ReferenceData!$AE$13),"",ReferenceData!$AE$13),"")</f>
        <v>2.70979021</v>
      </c>
      <c r="AF13">
        <f ca="1">IFERROR(IF(0=LEN(ReferenceData!$AF$13),"",ReferenceData!$AF$13),"")</f>
        <v>2.5</v>
      </c>
      <c r="AG13">
        <f ca="1">IFERROR(IF(0=LEN(ReferenceData!$AG$13),"",ReferenceData!$AG$13),"")</f>
        <v>2.3985239850000002</v>
      </c>
      <c r="AH13">
        <f ca="1">IFERROR(IF(0=LEN(ReferenceData!$AH$13),"",ReferenceData!$AH$13),"")</f>
        <v>2.9729729730000001</v>
      </c>
      <c r="AI13">
        <f ca="1">IFERROR(IF(0=LEN(ReferenceData!$AI$13),"",ReferenceData!$AI$13),"")</f>
        <v>3.125</v>
      </c>
      <c r="AJ13">
        <f ca="1">IFERROR(IF(0=LEN(ReferenceData!$AJ$13),"",ReferenceData!$AJ$13),"")</f>
        <v>2.9906542059999999</v>
      </c>
      <c r="AK13">
        <f ca="1">IFERROR(IF(0=LEN(ReferenceData!$AK$13),"",ReferenceData!$AK$13),"")</f>
        <v>3.0710172739999999</v>
      </c>
      <c r="AL13">
        <f ca="1">IFERROR(IF(0=LEN(ReferenceData!$AL$13),"",ReferenceData!$AL$13),"")</f>
        <v>3.5087784919999998</v>
      </c>
      <c r="AM13">
        <f ca="1">IFERROR(IF(0=LEN(ReferenceData!$AM$13),"",ReferenceData!$AM$13),"")</f>
        <v>4.3762428529999999</v>
      </c>
      <c r="AN13">
        <f ca="1">IFERROR(IF(0=LEN(ReferenceData!$AN$13),"",ReferenceData!$AN$13),"")</f>
        <v>4.0658023950000004</v>
      </c>
      <c r="AO13">
        <f ca="1">IFERROR(IF(0=LEN(ReferenceData!$AO$13),"",ReferenceData!$AO$13),"")</f>
        <v>2.4892171510000001</v>
      </c>
      <c r="AP13">
        <f ca="1">IFERROR(IF(0=LEN(ReferenceData!$AP$13),"",ReferenceData!$AP$13),"")</f>
        <v>4.0848963630000004</v>
      </c>
      <c r="AQ13">
        <f ca="1">IFERROR(IF(0=LEN(ReferenceData!$AQ$13),"",ReferenceData!$AQ$13),"")</f>
        <v>2.532281378</v>
      </c>
      <c r="AR13">
        <f ca="1">IFERROR(IF(0=LEN(ReferenceData!$AR$13),"",ReferenceData!$AR$13),"")</f>
        <v>4.986413518</v>
      </c>
      <c r="AS13">
        <f ca="1">IFERROR(IF(0=LEN(ReferenceData!$AS$13),"",ReferenceData!$AS$13),"")</f>
        <v>3.2833887210000001</v>
      </c>
      <c r="AT13">
        <f ca="1">IFERROR(IF(0=LEN(ReferenceData!$AT$13),"",ReferenceData!$AT$13),"")</f>
        <v>1.9857613970000001</v>
      </c>
      <c r="AU13">
        <f ca="1">IFERROR(IF(0=LEN(ReferenceData!$AU$13),"",ReferenceData!$AU$13),"")</f>
        <v>3.5100969059999998</v>
      </c>
      <c r="AV13">
        <f ca="1">IFERROR(IF(0=LEN(ReferenceData!$AV$13),"",ReferenceData!$AV$13),"")</f>
        <v>3.1990593070000002</v>
      </c>
      <c r="AW13">
        <f ca="1">IFERROR(IF(0=LEN(ReferenceData!$AW$13),"",ReferenceData!$AW$13),"")</f>
        <v>3.3657875979999998</v>
      </c>
      <c r="AX13">
        <f ca="1">IFERROR(IF(0=LEN(ReferenceData!$AX$13),"",ReferenceData!$AX$13),"")</f>
        <v>3.5746560459999999</v>
      </c>
      <c r="AY13">
        <f ca="1">IFERROR(IF(0=LEN(ReferenceData!$AY$13),"",ReferenceData!$AY$13),"")</f>
        <v>3.4807454550000001</v>
      </c>
      <c r="AZ13">
        <f ca="1">IFERROR(IF(0=LEN(ReferenceData!$AZ$13),"",ReferenceData!$AZ$13),"")</f>
        <v>4.9728450359999998</v>
      </c>
      <c r="BA13">
        <f ca="1">IFERROR(IF(0=LEN(ReferenceData!$BA$13),"",ReferenceData!$BA$13),"")</f>
        <v>6.6464156240000003</v>
      </c>
      <c r="BB13">
        <f ca="1">IFERROR(IF(0=LEN(ReferenceData!$BB$13),"",ReferenceData!$BB$13),"")</f>
        <v>8.4338518479999998</v>
      </c>
      <c r="BC13">
        <f ca="1">IFERROR(IF(0=LEN(ReferenceData!$BC$13),"",ReferenceData!$BC$13),"")</f>
        <v>6.4530313220000002</v>
      </c>
      <c r="BD13">
        <f ca="1">IFERROR(IF(0=LEN(ReferenceData!$BD$13),"",ReferenceData!$BD$13),"")</f>
        <v>5.6165886279999997</v>
      </c>
      <c r="BE13">
        <f ca="1">IFERROR(IF(0=LEN(ReferenceData!$BE$13),"",ReferenceData!$BE$13),"")</f>
        <v>6.6072717279999997</v>
      </c>
      <c r="BF13">
        <f ca="1">IFERROR(IF(0=LEN(ReferenceData!$BF$13),"",ReferenceData!$BF$13),"")</f>
        <v>3.7397362099999998</v>
      </c>
      <c r="BG13">
        <f ca="1">IFERROR(IF(0=LEN(ReferenceData!$BG$13),"",ReferenceData!$BG$13),"")</f>
        <v>1.923351633</v>
      </c>
      <c r="BH13">
        <f ca="1">IFERROR(IF(0=LEN(ReferenceData!$BH$13),"",ReferenceData!$BH$13),"")</f>
        <v>3.6162730010000002</v>
      </c>
      <c r="BI13">
        <f ca="1">IFERROR(IF(0=LEN(ReferenceData!$BI$13),"",ReferenceData!$BI$13),"")</f>
        <v>3.5373279790000001</v>
      </c>
      <c r="BJ13">
        <f ca="1">IFERROR(IF(0=LEN(ReferenceData!$BJ$13),"",ReferenceData!$BJ$13),"")</f>
        <v>7.8245628490000003</v>
      </c>
      <c r="BK13">
        <f ca="1">IFERROR(IF(0=LEN(ReferenceData!$BK$13),"",ReferenceData!$BK$13),"")</f>
        <v>7.6864001890000004</v>
      </c>
      <c r="BL13">
        <f ca="1">IFERROR(IF(0=LEN(ReferenceData!$BL$13),"",ReferenceData!$BL$13),"")</f>
        <v>6.8026397770000004</v>
      </c>
      <c r="BM13" t="str">
        <f ca="1">IFERROR(IF(0=LEN(ReferenceData!$BM$13),"",ReferenceData!$BM$13),"")</f>
        <v/>
      </c>
    </row>
    <row r="14" spans="1:65">
      <c r="A14" t="str">
        <f>IFERROR(IF(0=LEN(ReferenceData!$A$14),"",ReferenceData!$A$14),"")</f>
        <v xml:space="preserve">    JPMorgan Chase &amp; Co</v>
      </c>
      <c r="B14" t="str">
        <f>IFERROR(IF(0=LEN(ReferenceData!$B$14),"",ReferenceData!$B$14),"")</f>
        <v>JPM US Equity</v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Expression</v>
      </c>
      <c r="F14" t="str">
        <f ca="1">IFERROR(IF(0=LEN(ReferenceData!$F$14),"",ReferenceData!$F$14),"")</f>
        <v/>
      </c>
      <c r="G14">
        <f ca="1">IFERROR(IF(0=LEN(ReferenceData!$G$14),"",ReferenceData!$G$14),"")</f>
        <v>0.94246729500000004</v>
      </c>
      <c r="H14">
        <f ca="1">IFERROR(IF(0=LEN(ReferenceData!$H$14),"",ReferenceData!$H$14),"")</f>
        <v>0.69322709199999999</v>
      </c>
      <c r="I14">
        <f ca="1">IFERROR(IF(0=LEN(ReferenceData!$I$14),"",ReferenceData!$I$14),"")</f>
        <v>0.65579243600000003</v>
      </c>
      <c r="J14">
        <f ca="1">IFERROR(IF(0=LEN(ReferenceData!$J$14),"",ReferenceData!$J$14),"")</f>
        <v>0.68180639799999998</v>
      </c>
      <c r="K14">
        <f ca="1">IFERROR(IF(0=LEN(ReferenceData!$K$14),"",ReferenceData!$K$14),"")</f>
        <v>1.038270552</v>
      </c>
      <c r="L14">
        <f ca="1">IFERROR(IF(0=LEN(ReferenceData!$L$14),"",ReferenceData!$L$14),"")</f>
        <v>0.67300941700000005</v>
      </c>
      <c r="M14">
        <f ca="1">IFERROR(IF(0=LEN(ReferenceData!$M$14),"",ReferenceData!$M$14),"")</f>
        <v>0.57628621300000005</v>
      </c>
      <c r="N14">
        <f ca="1">IFERROR(IF(0=LEN(ReferenceData!$N$14),"",ReferenceData!$N$14),"")</f>
        <v>0.28367152000000001</v>
      </c>
      <c r="O14">
        <f ca="1">IFERROR(IF(0=LEN(ReferenceData!$O$14),"",ReferenceData!$O$14),"")</f>
        <v>0.95977503399999997</v>
      </c>
      <c r="P14">
        <f ca="1">IFERROR(IF(0=LEN(ReferenceData!$P$14),"",ReferenceData!$P$14),"")</f>
        <v>1.230669054</v>
      </c>
      <c r="Q14">
        <f ca="1">IFERROR(IF(0=LEN(ReferenceData!$Q$14),"",ReferenceData!$Q$14),"")</f>
        <v>1.4975420779999999</v>
      </c>
      <c r="R14">
        <f ca="1">IFERROR(IF(0=LEN(ReferenceData!$R$14),"",ReferenceData!$R$14),"")</f>
        <v>1.076665413</v>
      </c>
      <c r="S14">
        <f ca="1">IFERROR(IF(0=LEN(ReferenceData!$S$14),"",ReferenceData!$S$14),"")</f>
        <v>2.0238135389999998</v>
      </c>
      <c r="T14">
        <f ca="1">IFERROR(IF(0=LEN(ReferenceData!$T$14),"",ReferenceData!$T$14),"")</f>
        <v>1.8078020930000001</v>
      </c>
      <c r="U14">
        <f ca="1">IFERROR(IF(0=LEN(ReferenceData!$U$14),"",ReferenceData!$U$14),"")</f>
        <v>2.1818632619999998</v>
      </c>
      <c r="V14">
        <f ca="1">IFERROR(IF(0=LEN(ReferenceData!$V$14),"",ReferenceData!$V$14),"")</f>
        <v>2.6146241689999998</v>
      </c>
      <c r="W14">
        <f ca="1">IFERROR(IF(0=LEN(ReferenceData!$W$14),"",ReferenceData!$W$14),"")</f>
        <v>3.7156041700000002</v>
      </c>
      <c r="X14">
        <f ca="1">IFERROR(IF(0=LEN(ReferenceData!$X$14),"",ReferenceData!$X$14),"")</f>
        <v>2.7724867720000002</v>
      </c>
      <c r="Y14">
        <f ca="1">IFERROR(IF(0=LEN(ReferenceData!$Y$14),"",ReferenceData!$Y$14),"")</f>
        <v>1.131301704</v>
      </c>
      <c r="Z14" t="str">
        <f ca="1">IFERROR(IF(0=LEN(ReferenceData!$Z$14),"",ReferenceData!$Z$14),"")</f>
        <v/>
      </c>
      <c r="AA14">
        <f ca="1">IFERROR(IF(0=LEN(ReferenceData!$AA$14),"",ReferenceData!$AA$14),"")</f>
        <v>3.0282339290000002</v>
      </c>
      <c r="AB14">
        <f ca="1">IFERROR(IF(0=LEN(ReferenceData!$AB$14),"",ReferenceData!$AB$14),"")</f>
        <v>0.97053605600000004</v>
      </c>
      <c r="AC14">
        <f ca="1">IFERROR(IF(0=LEN(ReferenceData!$AC$14),"",ReferenceData!$AC$14),"")</f>
        <v>1.3597500259999999</v>
      </c>
      <c r="AD14">
        <f ca="1">IFERROR(IF(0=LEN(ReferenceData!$AD$14),"",ReferenceData!$AD$14),"")</f>
        <v>0.77750967100000001</v>
      </c>
      <c r="AE14">
        <f ca="1">IFERROR(IF(0=LEN(ReferenceData!$AE$14),"",ReferenceData!$AE$14),"")</f>
        <v>0.96111518699999998</v>
      </c>
      <c r="AF14">
        <f ca="1">IFERROR(IF(0=LEN(ReferenceData!$AF$14),"",ReferenceData!$AF$14),"")</f>
        <v>1.167441358</v>
      </c>
      <c r="AG14">
        <f ca="1">IFERROR(IF(0=LEN(ReferenceData!$AG$14),"",ReferenceData!$AG$14),"")</f>
        <v>1.6662486110000001</v>
      </c>
      <c r="AH14">
        <f ca="1">IFERROR(IF(0=LEN(ReferenceData!$AH$14),"",ReferenceData!$AH$14),"")</f>
        <v>1.5608827059999999</v>
      </c>
      <c r="AI14">
        <f ca="1">IFERROR(IF(0=LEN(ReferenceData!$AI$14),"",ReferenceData!$AI$14),"")</f>
        <v>1.693911395</v>
      </c>
      <c r="AJ14">
        <f ca="1">IFERROR(IF(0=LEN(ReferenceData!$AJ$14),"",ReferenceData!$AJ$14),"")</f>
        <v>1.5700905519999999</v>
      </c>
      <c r="AK14">
        <f ca="1">IFERROR(IF(0=LEN(ReferenceData!$AK$14),"",ReferenceData!$AK$14),"")</f>
        <v>1.627972252</v>
      </c>
      <c r="AL14">
        <f ca="1">IFERROR(IF(0=LEN(ReferenceData!$AL$14),"",ReferenceData!$AL$14),"")</f>
        <v>2.186002738</v>
      </c>
      <c r="AM14">
        <f ca="1">IFERROR(IF(0=LEN(ReferenceData!$AM$14),"",ReferenceData!$AM$14),"")</f>
        <v>2.529080371</v>
      </c>
      <c r="AN14">
        <f ca="1">IFERROR(IF(0=LEN(ReferenceData!$AN$14),"",ReferenceData!$AN$14),"")</f>
        <v>2.8260869569999998</v>
      </c>
      <c r="AO14">
        <f ca="1">IFERROR(IF(0=LEN(ReferenceData!$AO$14),"",ReferenceData!$AO$14),"")</f>
        <v>2.8701751369999999</v>
      </c>
      <c r="AP14">
        <f ca="1">IFERROR(IF(0=LEN(ReferenceData!$AP$14),"",ReferenceData!$AP$14),"")</f>
        <v>2.429538999</v>
      </c>
      <c r="AQ14">
        <f ca="1">IFERROR(IF(0=LEN(ReferenceData!$AQ$14),"",ReferenceData!$AQ$14),"")</f>
        <v>2.0588235290000001</v>
      </c>
      <c r="AR14">
        <f ca="1">IFERROR(IF(0=LEN(ReferenceData!$AR$14),"",ReferenceData!$AR$14),"")</f>
        <v>3.2882580209999999</v>
      </c>
      <c r="AS14">
        <f ca="1">IFERROR(IF(0=LEN(ReferenceData!$AS$14),"",ReferenceData!$AS$14),"")</f>
        <v>2.9294440289999999</v>
      </c>
      <c r="AT14">
        <f ca="1">IFERROR(IF(0=LEN(ReferenceData!$AT$14),"",ReferenceData!$AT$14),"")</f>
        <v>3.758241758</v>
      </c>
      <c r="AU14">
        <f ca="1">IFERROR(IF(0=LEN(ReferenceData!$AU$14),"",ReferenceData!$AU$14),"")</f>
        <v>3.6903837510000002</v>
      </c>
      <c r="AV14">
        <f ca="1">IFERROR(IF(0=LEN(ReferenceData!$AV$14),"",ReferenceData!$AV$14),"")</f>
        <v>5.2313801770000001</v>
      </c>
      <c r="AW14">
        <f ca="1">IFERROR(IF(0=LEN(ReferenceData!$AW$14),"",ReferenceData!$AW$14),"")</f>
        <v>2.2140857199999999</v>
      </c>
      <c r="AX14">
        <f ca="1">IFERROR(IF(0=LEN(ReferenceData!$AX$14),"",ReferenceData!$AX$14),"")</f>
        <v>4.7028847809999998</v>
      </c>
      <c r="AY14">
        <f ca="1">IFERROR(IF(0=LEN(ReferenceData!$AY$14),"",ReferenceData!$AY$14),"")</f>
        <v>3.6380153129999999</v>
      </c>
      <c r="AZ14">
        <f ca="1">IFERROR(IF(0=LEN(ReferenceData!$AZ$14),"",ReferenceData!$AZ$14),"")</f>
        <v>7.2309706079999998</v>
      </c>
      <c r="BA14">
        <f ca="1">IFERROR(IF(0=LEN(ReferenceData!$BA$14),"",ReferenceData!$BA$14),"")</f>
        <v>5.7797946019999999</v>
      </c>
      <c r="BB14">
        <f ca="1">IFERROR(IF(0=LEN(ReferenceData!$BB$14),"",ReferenceData!$BB$14),"")</f>
        <v>8.6035598019999995</v>
      </c>
      <c r="BC14">
        <f ca="1">IFERROR(IF(0=LEN(ReferenceData!$BC$14),"",ReferenceData!$BC$14),"")</f>
        <v>9.4527956730000007</v>
      </c>
      <c r="BD14">
        <f ca="1">IFERROR(IF(0=LEN(ReferenceData!$BD$14),"",ReferenceData!$BD$14),"")</f>
        <v>10.211902609999999</v>
      </c>
      <c r="BE14">
        <f ca="1">IFERROR(IF(0=LEN(ReferenceData!$BE$14),"",ReferenceData!$BE$14),"")</f>
        <v>7.7153385539999997</v>
      </c>
      <c r="BF14">
        <f ca="1">IFERROR(IF(0=LEN(ReferenceData!$BF$14),"",ReferenceData!$BF$14),"")</f>
        <v>3.3766475709999999</v>
      </c>
      <c r="BG14">
        <f ca="1">IFERROR(IF(0=LEN(ReferenceData!$BG$14),"",ReferenceData!$BG$14),"")</f>
        <v>5.8073475569999999</v>
      </c>
      <c r="BH14">
        <f ca="1">IFERROR(IF(0=LEN(ReferenceData!$BH$14),"",ReferenceData!$BH$14),"")</f>
        <v>4.1188991369999997</v>
      </c>
      <c r="BI14">
        <f ca="1">IFERROR(IF(0=LEN(ReferenceData!$BI$14),"",ReferenceData!$BI$14),"")</f>
        <v>-1.930930574</v>
      </c>
      <c r="BJ14">
        <f ca="1">IFERROR(IF(0=LEN(ReferenceData!$BJ$14),"",ReferenceData!$BJ$14),"")</f>
        <v>6.1958770789999997</v>
      </c>
      <c r="BK14">
        <f ca="1">IFERROR(IF(0=LEN(ReferenceData!$BK$14),"",ReferenceData!$BK$14),"")</f>
        <v>2.9675957020000001</v>
      </c>
      <c r="BL14">
        <f ca="1">IFERROR(IF(0=LEN(ReferenceData!$BL$14),"",ReferenceData!$BL$14),"")</f>
        <v>3.5377076609999998</v>
      </c>
      <c r="BM14">
        <f ca="1">IFERROR(IF(0=LEN(ReferenceData!$BM$14),"",ReferenceData!$BM$14),"")</f>
        <v>2.3779408040000001</v>
      </c>
    </row>
    <row r="15" spans="1:65">
      <c r="A15" t="str">
        <f>IFERROR(IF(0=LEN(ReferenceData!$A$15),"",ReferenceData!$A$15),"")</f>
        <v xml:space="preserve">    KeyCorp</v>
      </c>
      <c r="B15" t="str">
        <f>IFERROR(IF(0=LEN(ReferenceData!$B$15),"",ReferenceData!$B$15),"")</f>
        <v>KEY US Equity</v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Expression</v>
      </c>
      <c r="F15" t="str">
        <f ca="1">IFERROR(IF(0=LEN(ReferenceData!$F$15),"",ReferenceData!$F$15),"")</f>
        <v/>
      </c>
      <c r="G15">
        <f ca="1">IFERROR(IF(0=LEN(ReferenceData!$G$15),"",ReferenceData!$G$15),"")</f>
        <v>1.7569546119999999</v>
      </c>
      <c r="H15">
        <f ca="1">IFERROR(IF(0=LEN(ReferenceData!$H$15),"",ReferenceData!$H$15),"")</f>
        <v>1.05680317</v>
      </c>
      <c r="I15">
        <f ca="1">IFERROR(IF(0=LEN(ReferenceData!$I$15),"",ReferenceData!$I$15),"")</f>
        <v>0.91984231299999997</v>
      </c>
      <c r="J15">
        <f ca="1">IFERROR(IF(0=LEN(ReferenceData!$J$15),"",ReferenceData!$J$15),"")</f>
        <v>0.71848465100000003</v>
      </c>
      <c r="K15">
        <f ca="1">IFERROR(IF(0=LEN(ReferenceData!$K$15),"",ReferenceData!$K$15),"")</f>
        <v>0.96277278600000005</v>
      </c>
      <c r="L15">
        <f ca="1">IFERROR(IF(0=LEN(ReferenceData!$L$15),"",ReferenceData!$L$15),"")</f>
        <v>0.88216761200000005</v>
      </c>
      <c r="M15">
        <f ca="1">IFERROR(IF(0=LEN(ReferenceData!$M$15),"",ReferenceData!$M$15),"")</f>
        <v>0.64440538999999997</v>
      </c>
      <c r="N15">
        <f ca="1">IFERROR(IF(0=LEN(ReferenceData!$N$15),"",ReferenceData!$N$15),"")</f>
        <v>0.47593865699999999</v>
      </c>
      <c r="O15">
        <f ca="1">IFERROR(IF(0=LEN(ReferenceData!$O$15),"",ReferenceData!$O$15),"")</f>
        <v>0.74507716899999998</v>
      </c>
      <c r="P15">
        <f ca="1">IFERROR(IF(0=LEN(ReferenceData!$P$15),"",ReferenceData!$P$15),"")</f>
        <v>0.78431372600000004</v>
      </c>
      <c r="Q15">
        <f ca="1">IFERROR(IF(0=LEN(ReferenceData!$Q$15),"",ReferenceData!$Q$15),"")</f>
        <v>1.2426035499999999</v>
      </c>
      <c r="R15">
        <f ca="1">IFERROR(IF(0=LEN(ReferenceData!$R$15),"",ReferenceData!$R$15),"")</f>
        <v>1.2873326469999999</v>
      </c>
      <c r="S15">
        <f ca="1">IFERROR(IF(0=LEN(ReferenceData!$S$15),"",ReferenceData!$S$15),"")</f>
        <v>1.820187534</v>
      </c>
      <c r="T15">
        <f ca="1">IFERROR(IF(0=LEN(ReferenceData!$T$15),"",ReferenceData!$T$15),"")</f>
        <v>1.4714204870000001</v>
      </c>
      <c r="U15">
        <f ca="1">IFERROR(IF(0=LEN(ReferenceData!$U$15),"",ReferenceData!$U$15),"")</f>
        <v>2.6965002870000001</v>
      </c>
      <c r="V15">
        <f ca="1">IFERROR(IF(0=LEN(ReferenceData!$V$15),"",ReferenceData!$V$15),"")</f>
        <v>2.3407729989999999</v>
      </c>
      <c r="W15">
        <f ca="1">IFERROR(IF(0=LEN(ReferenceData!$W$15),"",ReferenceData!$W$15),"")</f>
        <v>3.033908388</v>
      </c>
      <c r="X15">
        <f ca="1">IFERROR(IF(0=LEN(ReferenceData!$X$15),"",ReferenceData!$X$15),"")</f>
        <v>3.625730994</v>
      </c>
      <c r="Y15">
        <f ca="1">IFERROR(IF(0=LEN(ReferenceData!$Y$15),"",ReferenceData!$Y$15),"")</f>
        <v>1.371742112</v>
      </c>
      <c r="Z15">
        <f ca="1">IFERROR(IF(0=LEN(ReferenceData!$Z$15),"",ReferenceData!$Z$15),"")</f>
        <v>1.288343558</v>
      </c>
      <c r="AA15">
        <f ca="1">IFERROR(IF(0=LEN(ReferenceData!$AA$15),"",ReferenceData!$AA$15),"")</f>
        <v>0.98643649799999999</v>
      </c>
      <c r="AB15">
        <f ca="1">IFERROR(IF(0=LEN(ReferenceData!$AB$15),"",ReferenceData!$AB$15),"")</f>
        <v>0.93574547699999999</v>
      </c>
      <c r="AC15">
        <f ca="1">IFERROR(IF(0=LEN(ReferenceData!$AC$15),"",ReferenceData!$AC$15),"")</f>
        <v>0.52875082600000001</v>
      </c>
      <c r="AD15" t="str">
        <f ca="1">IFERROR(IF(0=LEN(ReferenceData!$AD$15),"",ReferenceData!$AD$15),"")</f>
        <v/>
      </c>
      <c r="AE15">
        <f ca="1">IFERROR(IF(0=LEN(ReferenceData!$AE$15),"",ReferenceData!$AE$15),"")</f>
        <v>0.56426332300000004</v>
      </c>
      <c r="AF15">
        <f ca="1">IFERROR(IF(0=LEN(ReferenceData!$AF$15),"",ReferenceData!$AF$15),"")</f>
        <v>0.42708968899999999</v>
      </c>
      <c r="AG15">
        <f ca="1">IFERROR(IF(0=LEN(ReferenceData!$AG$15),"",ReferenceData!$AG$15),"")</f>
        <v>0.45307443400000003</v>
      </c>
      <c r="AH15">
        <f ca="1">IFERROR(IF(0=LEN(ReferenceData!$AH$15),"",ReferenceData!$AH$15),"")</f>
        <v>0.4391468</v>
      </c>
      <c r="AI15">
        <f ca="1">IFERROR(IF(0=LEN(ReferenceData!$AI$15),"",ReferenceData!$AI$15),"")</f>
        <v>0.45454545499999999</v>
      </c>
      <c r="AJ15">
        <f ca="1">IFERROR(IF(0=LEN(ReferenceData!$AJ$15),"",ReferenceData!$AJ$15),"")</f>
        <v>0.36900369</v>
      </c>
      <c r="AK15">
        <f ca="1">IFERROR(IF(0=LEN(ReferenceData!$AK$15),"",ReferenceData!$AK$15),"")</f>
        <v>0.401337793</v>
      </c>
      <c r="AL15">
        <f ca="1">IFERROR(IF(0=LEN(ReferenceData!$AL$15),"",ReferenceData!$AL$15),"")</f>
        <v>0.38560411300000003</v>
      </c>
      <c r="AM15">
        <f ca="1">IFERROR(IF(0=LEN(ReferenceData!$AM$15),"",ReferenceData!$AM$15),"")</f>
        <v>0.451467269</v>
      </c>
      <c r="AN15">
        <f ca="1">IFERROR(IF(0=LEN(ReferenceData!$AN$15),"",ReferenceData!$AN$15),"")</f>
        <v>0.28037383199999999</v>
      </c>
      <c r="AO15">
        <f ca="1">IFERROR(IF(0=LEN(ReferenceData!$AO$15),"",ReferenceData!$AO$15),"")</f>
        <v>0.193236715</v>
      </c>
      <c r="AP15">
        <f ca="1">IFERROR(IF(0=LEN(ReferenceData!$AP$15),"",ReferenceData!$AP$15),"")</f>
        <v>0.18399264000000001</v>
      </c>
      <c r="AQ15">
        <f ca="1">IFERROR(IF(0=LEN(ReferenceData!$AQ$15),"",ReferenceData!$AQ$15),"")</f>
        <v>0.28275212100000002</v>
      </c>
      <c r="AR15">
        <f ca="1">IFERROR(IF(0=LEN(ReferenceData!$AR$15),"",ReferenceData!$AR$15),"")</f>
        <v>0.37313432800000002</v>
      </c>
      <c r="AS15">
        <f ca="1">IFERROR(IF(0=LEN(ReferenceData!$AS$15),"",ReferenceData!$AS$15),"")</f>
        <v>0.297619048</v>
      </c>
      <c r="AT15">
        <f ca="1">IFERROR(IF(0=LEN(ReferenceData!$AT$15),"",ReferenceData!$AT$15),"")</f>
        <v>0.27985074599999998</v>
      </c>
      <c r="AU15">
        <f ca="1">IFERROR(IF(0=LEN(ReferenceData!$AU$15),"",ReferenceData!$AU$15),"")</f>
        <v>0.302419355</v>
      </c>
      <c r="AV15">
        <f ca="1">IFERROR(IF(0=LEN(ReferenceData!$AV$15),"",ReferenceData!$AV$15),"")</f>
        <v>0.194552529</v>
      </c>
      <c r="AW15">
        <f ca="1">IFERROR(IF(0=LEN(ReferenceData!$AW$15),"",ReferenceData!$AW$15),"")</f>
        <v>0.20040080199999999</v>
      </c>
      <c r="AX15">
        <f ca="1">IFERROR(IF(0=LEN(ReferenceData!$AX$15),"",ReferenceData!$AX$15),"")</f>
        <v>0.28957528999999999</v>
      </c>
      <c r="AY15">
        <f ca="1">IFERROR(IF(0=LEN(ReferenceData!$AY$15),"",ReferenceData!$AY$15),"")</f>
        <v>0.28929604599999997</v>
      </c>
      <c r="AZ15">
        <f ca="1">IFERROR(IF(0=LEN(ReferenceData!$AZ$15),"",ReferenceData!$AZ$15),"")</f>
        <v>0.59405940599999996</v>
      </c>
      <c r="BA15">
        <f ca="1">IFERROR(IF(0=LEN(ReferenceData!$BA$15),"",ReferenceData!$BA$15),"")</f>
        <v>0.69444444400000005</v>
      </c>
      <c r="BB15">
        <f ca="1">IFERROR(IF(0=LEN(ReferenceData!$BB$15),"",ReferenceData!$BB$15),"")</f>
        <v>1.057692308</v>
      </c>
      <c r="BC15">
        <f ca="1">IFERROR(IF(0=LEN(ReferenceData!$BC$15),"",ReferenceData!$BC$15),"")</f>
        <v>1.0091743120000001</v>
      </c>
      <c r="BD15">
        <f ca="1">IFERROR(IF(0=LEN(ReferenceData!$BD$15),"",ReferenceData!$BD$15),"")</f>
        <v>0.90452261300000003</v>
      </c>
      <c r="BE15">
        <f ca="1">IFERROR(IF(0=LEN(ReferenceData!$BE$15),"",ReferenceData!$BE$15),"")</f>
        <v>0.90452261300000003</v>
      </c>
      <c r="BF15" t="str">
        <f ca="1">IFERROR(IF(0=LEN(ReferenceData!$BF$15),"",ReferenceData!$BF$15),"")</f>
        <v/>
      </c>
      <c r="BG15" t="str">
        <f ca="1">IFERROR(IF(0=LEN(ReferenceData!$BG$15),"",ReferenceData!$BG$15),"")</f>
        <v/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 t="str">
        <f ca="1">IFERROR(IF(0=LEN(ReferenceData!$BJ$15),"",ReferenceData!$BJ$15),"")</f>
        <v/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>
      <c r="A16" t="str">
        <f>IFERROR(IF(0=LEN(ReferenceData!$A$16),"",ReferenceData!$A$16),"")</f>
        <v xml:space="preserve">    M&amp;T Bank Corp</v>
      </c>
      <c r="B16" t="str">
        <f>IFERROR(IF(0=LEN(ReferenceData!$B$16),"",ReferenceData!$B$16),"")</f>
        <v>MTB US Equity</v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Expression</v>
      </c>
      <c r="F16" t="str">
        <f ca="1">IFERROR(IF(0=LEN(ReferenceData!$F$16),"",ReferenceData!$F$16),"")</f>
        <v/>
      </c>
      <c r="G16">
        <f ca="1">IFERROR(IF(0=LEN(ReferenceData!$G$16),"",ReferenceData!$G$16),"")</f>
        <v>4.6740994850000002</v>
      </c>
      <c r="H16">
        <f ca="1">IFERROR(IF(0=LEN(ReferenceData!$H$16),"",ReferenceData!$H$16),"")</f>
        <v>4.6046915730000002</v>
      </c>
      <c r="I16">
        <f ca="1">IFERROR(IF(0=LEN(ReferenceData!$I$16),"",ReferenceData!$I$16),"")</f>
        <v>4.601769912</v>
      </c>
      <c r="J16">
        <f ca="1">IFERROR(IF(0=LEN(ReferenceData!$J$16),"",ReferenceData!$J$16),"")</f>
        <v>4.8695652169999999</v>
      </c>
      <c r="K16">
        <f ca="1">IFERROR(IF(0=LEN(ReferenceData!$K$16),"",ReferenceData!$K$16),"")</f>
        <v>4.4744919530000002</v>
      </c>
      <c r="L16">
        <f ca="1">IFERROR(IF(0=LEN(ReferenceData!$L$16),"",ReferenceData!$L$16),"")</f>
        <v>4.1160511849999999</v>
      </c>
      <c r="M16">
        <f ca="1">IFERROR(IF(0=LEN(ReferenceData!$M$16),"",ReferenceData!$M$16),"")</f>
        <v>3.5330966159999999</v>
      </c>
      <c r="N16">
        <f ca="1">IFERROR(IF(0=LEN(ReferenceData!$N$16),"",ReferenceData!$N$16),"")</f>
        <v>3.2492583439999998</v>
      </c>
      <c r="O16">
        <f ca="1">IFERROR(IF(0=LEN(ReferenceData!$O$16),"",ReferenceData!$O$16),"")</f>
        <v>3.7042604730000002</v>
      </c>
      <c r="P16">
        <f ca="1">IFERROR(IF(0=LEN(ReferenceData!$P$16),"",ReferenceData!$P$16),"")</f>
        <v>4.1822316429999997</v>
      </c>
      <c r="Q16">
        <f ca="1">IFERROR(IF(0=LEN(ReferenceData!$Q$16),"",ReferenceData!$Q$16),"")</f>
        <v>7.5531759559999996</v>
      </c>
      <c r="R16">
        <f ca="1">IFERROR(IF(0=LEN(ReferenceData!$R$16),"",ReferenceData!$R$16),"")</f>
        <v>9.2081616999999998</v>
      </c>
      <c r="S16">
        <f ca="1">IFERROR(IF(0=LEN(ReferenceData!$S$16),"",ReferenceData!$S$16),"")</f>
        <v>10.413791939999999</v>
      </c>
      <c r="T16">
        <f ca="1">IFERROR(IF(0=LEN(ReferenceData!$T$16),"",ReferenceData!$T$16),"")</f>
        <v>9.1562824309999993</v>
      </c>
      <c r="U16">
        <f ca="1">IFERROR(IF(0=LEN(ReferenceData!$U$16),"",ReferenceData!$U$16),"")</f>
        <v>9.3311804429999992</v>
      </c>
      <c r="V16">
        <f ca="1">IFERROR(IF(0=LEN(ReferenceData!$V$16),"",ReferenceData!$V$16),"")</f>
        <v>9.1164079890000007</v>
      </c>
      <c r="W16">
        <f ca="1">IFERROR(IF(0=LEN(ReferenceData!$W$16),"",ReferenceData!$W$16),"")</f>
        <v>10.4715179</v>
      </c>
      <c r="X16">
        <f ca="1">IFERROR(IF(0=LEN(ReferenceData!$X$16),"",ReferenceData!$X$16),"")</f>
        <v>10.040362500000001</v>
      </c>
      <c r="Y16">
        <f ca="1">IFERROR(IF(0=LEN(ReferenceData!$Y$16),"",ReferenceData!$Y$16),"")</f>
        <v>8.4923630550000002</v>
      </c>
      <c r="Z16">
        <f ca="1">IFERROR(IF(0=LEN(ReferenceData!$Z$16),"",ReferenceData!$Z$16),"")</f>
        <v>7.7218174319999999</v>
      </c>
      <c r="AA16">
        <f ca="1">IFERROR(IF(0=LEN(ReferenceData!$AA$16),"",ReferenceData!$AA$16),"")</f>
        <v>8.7954501250000003</v>
      </c>
      <c r="AB16">
        <f ca="1">IFERROR(IF(0=LEN(ReferenceData!$AB$16),"",ReferenceData!$AB$16),"")</f>
        <v>6.907998064</v>
      </c>
      <c r="AC16">
        <f ca="1">IFERROR(IF(0=LEN(ReferenceData!$AC$16),"",ReferenceData!$AC$16),"")</f>
        <v>6.1458256090000001</v>
      </c>
      <c r="AD16">
        <f ca="1">IFERROR(IF(0=LEN(ReferenceData!$AD$16),"",ReferenceData!$AD$16),"")</f>
        <v>5.9906232709999996</v>
      </c>
      <c r="AE16">
        <f ca="1">IFERROR(IF(0=LEN(ReferenceData!$AE$16),"",ReferenceData!$AE$16),"")</f>
        <v>5.9400725110000003</v>
      </c>
      <c r="AF16">
        <f ca="1">IFERROR(IF(0=LEN(ReferenceData!$AF$16),"",ReferenceData!$AF$16),"")</f>
        <v>6.308753029</v>
      </c>
      <c r="AG16">
        <f ca="1">IFERROR(IF(0=LEN(ReferenceData!$AG$16),"",ReferenceData!$AG$16),"")</f>
        <v>6.0873803259999999</v>
      </c>
      <c r="AH16">
        <f ca="1">IFERROR(IF(0=LEN(ReferenceData!$AH$16),"",ReferenceData!$AH$16),"")</f>
        <v>6.6118036169999996</v>
      </c>
      <c r="AI16">
        <f ca="1">IFERROR(IF(0=LEN(ReferenceData!$AI$16),"",ReferenceData!$AI$16),"")</f>
        <v>6.8289938389999998</v>
      </c>
      <c r="AJ16">
        <f ca="1">IFERROR(IF(0=LEN(ReferenceData!$AJ$16),"",ReferenceData!$AJ$16),"")</f>
        <v>6.1588287770000001</v>
      </c>
      <c r="AK16">
        <f ca="1">IFERROR(IF(0=LEN(ReferenceData!$AK$16),"",ReferenceData!$AK$16),"")</f>
        <v>6.2222973250000004</v>
      </c>
      <c r="AL16">
        <f ca="1">IFERROR(IF(0=LEN(ReferenceData!$AL$16),"",ReferenceData!$AL$16),"")</f>
        <v>7.3443416939999997</v>
      </c>
      <c r="AM16">
        <f ca="1">IFERROR(IF(0=LEN(ReferenceData!$AM$16),"",ReferenceData!$AM$16),"")</f>
        <v>7.6867280630000003</v>
      </c>
      <c r="AN16">
        <f ca="1">IFERROR(IF(0=LEN(ReferenceData!$AN$16),"",ReferenceData!$AN$16),"")</f>
        <v>6.8123496179999998</v>
      </c>
      <c r="AO16">
        <f ca="1">IFERROR(IF(0=LEN(ReferenceData!$AO$16),"",ReferenceData!$AO$16),"")</f>
        <v>6.3472186879999999</v>
      </c>
      <c r="AP16">
        <f ca="1">IFERROR(IF(0=LEN(ReferenceData!$AP$16),"",ReferenceData!$AP$16),"")</f>
        <v>6.9712672250000001</v>
      </c>
      <c r="AQ16">
        <f ca="1">IFERROR(IF(0=LEN(ReferenceData!$AQ$16),"",ReferenceData!$AQ$16),"")</f>
        <v>7.4201386989999998</v>
      </c>
      <c r="AR16">
        <f ca="1">IFERROR(IF(0=LEN(ReferenceData!$AR$16),"",ReferenceData!$AR$16),"")</f>
        <v>8.6939427449999993</v>
      </c>
      <c r="AS16">
        <f ca="1">IFERROR(IF(0=LEN(ReferenceData!$AS$16),"",ReferenceData!$AS$16),"")</f>
        <v>9.2382098050000003</v>
      </c>
      <c r="AT16">
        <f ca="1">IFERROR(IF(0=LEN(ReferenceData!$AT$16),"",ReferenceData!$AT$16),"")</f>
        <v>8.2643497959999994</v>
      </c>
      <c r="AU16">
        <f ca="1">IFERROR(IF(0=LEN(ReferenceData!$AU$16),"",ReferenceData!$AU$16),"")</f>
        <v>8.3498040479999993</v>
      </c>
      <c r="AV16">
        <f ca="1">IFERROR(IF(0=LEN(ReferenceData!$AV$16),"",ReferenceData!$AV$16),"")</f>
        <v>8.4987819029999994</v>
      </c>
      <c r="AW16">
        <f ca="1">IFERROR(IF(0=LEN(ReferenceData!$AW$16),"",ReferenceData!$AW$16),"")</f>
        <v>7.4357664369999998</v>
      </c>
      <c r="AX16">
        <f ca="1">IFERROR(IF(0=LEN(ReferenceData!$AX$16),"",ReferenceData!$AX$16),"")</f>
        <v>7.3844508549999999</v>
      </c>
      <c r="AY16">
        <f ca="1">IFERROR(IF(0=LEN(ReferenceData!$AY$16),"",ReferenceData!$AY$16),"")</f>
        <v>5.6263559369999996</v>
      </c>
      <c r="AZ16">
        <f ca="1">IFERROR(IF(0=LEN(ReferenceData!$AZ$16),"",ReferenceData!$AZ$16),"")</f>
        <v>7.6931506660000002</v>
      </c>
      <c r="BA16">
        <f ca="1">IFERROR(IF(0=LEN(ReferenceData!$BA$16),"",ReferenceData!$BA$16),"")</f>
        <v>8.5499370020000001</v>
      </c>
      <c r="BB16">
        <f ca="1">IFERROR(IF(0=LEN(ReferenceData!$BB$16),"",ReferenceData!$BB$16),"")</f>
        <v>10.40045119</v>
      </c>
      <c r="BC16">
        <f ca="1">IFERROR(IF(0=LEN(ReferenceData!$BC$16),"",ReferenceData!$BC$16),"")</f>
        <v>9.6361151330000006</v>
      </c>
      <c r="BD16">
        <f ca="1">IFERROR(IF(0=LEN(ReferenceData!$BD$16),"",ReferenceData!$BD$16),"")</f>
        <v>6.6863979889999996</v>
      </c>
      <c r="BE16">
        <f ca="1">IFERROR(IF(0=LEN(ReferenceData!$BE$16),"",ReferenceData!$BE$16),"")</f>
        <v>5.6354752530000001</v>
      </c>
      <c r="BF16">
        <f ca="1">IFERROR(IF(0=LEN(ReferenceData!$BF$16),"",ReferenceData!$BF$16),"")</f>
        <v>3.9915001210000001</v>
      </c>
      <c r="BG16">
        <f ca="1">IFERROR(IF(0=LEN(ReferenceData!$BG$16),"",ReferenceData!$BG$16),"")</f>
        <v>3.8717857360000001</v>
      </c>
      <c r="BH16">
        <f ca="1">IFERROR(IF(0=LEN(ReferenceData!$BH$16),"",ReferenceData!$BH$16),"")</f>
        <v>3.8746784970000001</v>
      </c>
      <c r="BI16">
        <f ca="1">IFERROR(IF(0=LEN(ReferenceData!$BI$16),"",ReferenceData!$BI$16),"")</f>
        <v>5.1126328089999999</v>
      </c>
      <c r="BJ16">
        <f ca="1">IFERROR(IF(0=LEN(ReferenceData!$BJ$16),"",ReferenceData!$BJ$16),"")</f>
        <v>4.0663852220000001</v>
      </c>
      <c r="BK16">
        <f ca="1">IFERROR(IF(0=LEN(ReferenceData!$BK$16),"",ReferenceData!$BK$16),"")</f>
        <v>7.1009936409999996</v>
      </c>
      <c r="BL16">
        <f ca="1">IFERROR(IF(0=LEN(ReferenceData!$BL$16),"",ReferenceData!$BL$16),"")</f>
        <v>5.6000114180000002</v>
      </c>
      <c r="BM16" t="str">
        <f ca="1">IFERROR(IF(0=LEN(ReferenceData!$BM$16),"",ReferenceData!$BM$16),"")</f>
        <v/>
      </c>
    </row>
    <row r="17" spans="1:65">
      <c r="A17" t="str">
        <f>IFERROR(IF(0=LEN(ReferenceData!$A$17),"",ReferenceData!$A$17),"")</f>
        <v xml:space="preserve">    PNC Financial Services Group I</v>
      </c>
      <c r="B17" t="str">
        <f>IFERROR(IF(0=LEN(ReferenceData!$B$17),"",ReferenceData!$B$17),"")</f>
        <v>PNC US Equity</v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Expression</v>
      </c>
      <c r="F17" t="str">
        <f ca="1">IFERROR(IF(0=LEN(ReferenceData!$F$17),"",ReferenceData!$F$17),"")</f>
        <v/>
      </c>
      <c r="G17">
        <f ca="1">IFERROR(IF(0=LEN(ReferenceData!$G$17),"",ReferenceData!$G$17),"")</f>
        <v>3.332106038</v>
      </c>
      <c r="H17">
        <f ca="1">IFERROR(IF(0=LEN(ReferenceData!$H$17),"",ReferenceData!$H$17),"")</f>
        <v>2.4209942710000001</v>
      </c>
      <c r="I17">
        <f ca="1">IFERROR(IF(0=LEN(ReferenceData!$I$17),"",ReferenceData!$I$17),"")</f>
        <v>2.8571428569999999</v>
      </c>
      <c r="J17">
        <f ca="1">IFERROR(IF(0=LEN(ReferenceData!$J$17),"",ReferenceData!$J$17),"")</f>
        <v>2.7793322140000001</v>
      </c>
      <c r="K17">
        <f ca="1">IFERROR(IF(0=LEN(ReferenceData!$K$17),"",ReferenceData!$K$17),"")</f>
        <v>3.8410089809999999</v>
      </c>
      <c r="L17">
        <f ca="1">IFERROR(IF(0=LEN(ReferenceData!$L$17),"",ReferenceData!$L$17),"")</f>
        <v>1.851501984</v>
      </c>
      <c r="M17">
        <f ca="1">IFERROR(IF(0=LEN(ReferenceData!$M$17),"",ReferenceData!$M$17),"")</f>
        <v>3.1590219529999999</v>
      </c>
      <c r="N17">
        <f ca="1">IFERROR(IF(0=LEN(ReferenceData!$N$17),"",ReferenceData!$N$17),"")</f>
        <v>3.1927815370000001</v>
      </c>
      <c r="O17">
        <f ca="1">IFERROR(IF(0=LEN(ReferenceData!$O$17),"",ReferenceData!$O$17),"")</f>
        <v>2.5770409079999999</v>
      </c>
      <c r="P17">
        <f ca="1">IFERROR(IF(0=LEN(ReferenceData!$P$17),"",ReferenceData!$P$17),"")</f>
        <v>3.1469898359999999</v>
      </c>
      <c r="Q17">
        <f ca="1">IFERROR(IF(0=LEN(ReferenceData!$Q$17),"",ReferenceData!$Q$17),"")</f>
        <v>3.3887468030000001</v>
      </c>
      <c r="R17">
        <f ca="1">IFERROR(IF(0=LEN(ReferenceData!$R$17),"",ReferenceData!$R$17),"")</f>
        <v>4.0764579679999997</v>
      </c>
      <c r="S17">
        <f ca="1">IFERROR(IF(0=LEN(ReferenceData!$S$17),"",ReferenceData!$S$17),"")</f>
        <v>4.7719838369999996</v>
      </c>
      <c r="T17">
        <f ca="1">IFERROR(IF(0=LEN(ReferenceData!$T$17),"",ReferenceData!$T$17),"")</f>
        <v>4.4139704310000001</v>
      </c>
      <c r="U17">
        <f ca="1">IFERROR(IF(0=LEN(ReferenceData!$U$17),"",ReferenceData!$U$17),"")</f>
        <v>4.4312796209999998</v>
      </c>
      <c r="V17">
        <f ca="1">IFERROR(IF(0=LEN(ReferenceData!$V$17),"",ReferenceData!$V$17),"")</f>
        <v>2.352661597</v>
      </c>
      <c r="W17">
        <f ca="1">IFERROR(IF(0=LEN(ReferenceData!$W$17),"",ReferenceData!$W$17),"")</f>
        <v>3.2001868720000002</v>
      </c>
      <c r="X17">
        <f ca="1">IFERROR(IF(0=LEN(ReferenceData!$X$17),"",ReferenceData!$X$17),"")</f>
        <v>3.876349362</v>
      </c>
      <c r="Y17">
        <f ca="1">IFERROR(IF(0=LEN(ReferenceData!$Y$17),"",ReferenceData!$Y$17),"")</f>
        <v>4.8431734320000004</v>
      </c>
      <c r="Z17">
        <f ca="1">IFERROR(IF(0=LEN(ReferenceData!$Z$17),"",ReferenceData!$Z$17),"")</f>
        <v>2.0134228190000001</v>
      </c>
      <c r="AA17">
        <f ca="1">IFERROR(IF(0=LEN(ReferenceData!$AA$17),"",ReferenceData!$AA$17),"")</f>
        <v>3.158887317</v>
      </c>
      <c r="AB17">
        <f ca="1">IFERROR(IF(0=LEN(ReferenceData!$AB$17),"",ReferenceData!$AB$17),"")</f>
        <v>1.847262897</v>
      </c>
      <c r="AC17">
        <f ca="1">IFERROR(IF(0=LEN(ReferenceData!$AC$17),"",ReferenceData!$AC$17),"")</f>
        <v>1.516565562</v>
      </c>
      <c r="AD17">
        <f ca="1">IFERROR(IF(0=LEN(ReferenceData!$AD$17),"",ReferenceData!$AD$17),"")</f>
        <v>1.359447005</v>
      </c>
      <c r="AE17">
        <f ca="1">IFERROR(IF(0=LEN(ReferenceData!$AE$17),"",ReferenceData!$AE$17),"")</f>
        <v>1.744319486</v>
      </c>
      <c r="AF17">
        <f ca="1">IFERROR(IF(0=LEN(ReferenceData!$AF$17),"",ReferenceData!$AF$17),"")</f>
        <v>1.942645698</v>
      </c>
      <c r="AG17">
        <f ca="1">IFERROR(IF(0=LEN(ReferenceData!$AG$17),"",ReferenceData!$AG$17),"")</f>
        <v>2.3595232300000002</v>
      </c>
      <c r="AH17">
        <f ca="1">IFERROR(IF(0=LEN(ReferenceData!$AH$17),"",ReferenceData!$AH$17),"")</f>
        <v>0.68075117399999996</v>
      </c>
      <c r="AI17">
        <f ca="1">IFERROR(IF(0=LEN(ReferenceData!$AI$17),"",ReferenceData!$AI$17),"")</f>
        <v>2.521212121</v>
      </c>
      <c r="AJ17">
        <f ca="1">IFERROR(IF(0=LEN(ReferenceData!$AJ$17),"",ReferenceData!$AJ$17),"")</f>
        <v>2.5615763550000001</v>
      </c>
      <c r="AK17">
        <f ca="1">IFERROR(IF(0=LEN(ReferenceData!$AK$17),"",ReferenceData!$AK$17),"")</f>
        <v>2.909371782</v>
      </c>
      <c r="AL17" t="str">
        <f ca="1">IFERROR(IF(0=LEN(ReferenceData!$AL$17),"",ReferenceData!$AL$17),"")</f>
        <v/>
      </c>
      <c r="AM17">
        <f ca="1">IFERROR(IF(0=LEN(ReferenceData!$AM$17),"",ReferenceData!$AM$17),"")</f>
        <v>4.1786367200000001</v>
      </c>
      <c r="AN17">
        <f ca="1">IFERROR(IF(0=LEN(ReferenceData!$AN$17),"",ReferenceData!$AN$17),"")</f>
        <v>4.3489720609999996</v>
      </c>
      <c r="AO17">
        <f ca="1">IFERROR(IF(0=LEN(ReferenceData!$AO$17),"",ReferenceData!$AO$17),"")</f>
        <v>2.7285129600000002</v>
      </c>
      <c r="AP17">
        <f ca="1">IFERROR(IF(0=LEN(ReferenceData!$AP$17),"",ReferenceData!$AP$17),"")</f>
        <v>2.9327796519999998</v>
      </c>
      <c r="AQ17">
        <f ca="1">IFERROR(IF(0=LEN(ReferenceData!$AQ$17),"",ReferenceData!$AQ$17),"")</f>
        <v>3.3112582779999999</v>
      </c>
      <c r="AR17">
        <f ca="1">IFERROR(IF(0=LEN(ReferenceData!$AR$17),"",ReferenceData!$AR$17),"")</f>
        <v>4.2421107090000003</v>
      </c>
      <c r="AS17">
        <f ca="1">IFERROR(IF(0=LEN(ReferenceData!$AS$17),"",ReferenceData!$AS$17),"")</f>
        <v>4.3956043960000004</v>
      </c>
      <c r="AT17">
        <f ca="1">IFERROR(IF(0=LEN(ReferenceData!$AT$17),"",ReferenceData!$AT$17),"")</f>
        <v>3.42031923</v>
      </c>
      <c r="AU17">
        <f ca="1">IFERROR(IF(0=LEN(ReferenceData!$AU$17),"",ReferenceData!$AU$17),"")</f>
        <v>3.6448841449999998</v>
      </c>
      <c r="AV17">
        <f ca="1">IFERROR(IF(0=LEN(ReferenceData!$AV$17),"",ReferenceData!$AV$17),"")</f>
        <v>4.7769028870000003</v>
      </c>
      <c r="AW17">
        <f ca="1">IFERROR(IF(0=LEN(ReferenceData!$AW$17),"",ReferenceData!$AW$17),"")</f>
        <v>4.2626423090000003</v>
      </c>
      <c r="AX17">
        <f ca="1">IFERROR(IF(0=LEN(ReferenceData!$AX$17),"",ReferenceData!$AX$17),"")</f>
        <v>6.653572305</v>
      </c>
      <c r="AY17">
        <f ca="1">IFERROR(IF(0=LEN(ReferenceData!$AY$17),"",ReferenceData!$AY$17),"")</f>
        <v>5.076530612</v>
      </c>
      <c r="AZ17">
        <f ca="1">IFERROR(IF(0=LEN(ReferenceData!$AZ$17),"",ReferenceData!$AZ$17),"")</f>
        <v>4.1092519689999998</v>
      </c>
      <c r="BA17">
        <f ca="1">IFERROR(IF(0=LEN(ReferenceData!$BA$17),"",ReferenceData!$BA$17),"")</f>
        <v>5.916561315</v>
      </c>
      <c r="BB17">
        <f ca="1">IFERROR(IF(0=LEN(ReferenceData!$BB$17),"",ReferenceData!$BB$17),"")</f>
        <v>0</v>
      </c>
      <c r="BC17">
        <f ca="1">IFERROR(IF(0=LEN(ReferenceData!$BC$17),"",ReferenceData!$BC$17),"")</f>
        <v>5.5528375729999997</v>
      </c>
      <c r="BD17">
        <f ca="1">IFERROR(IF(0=LEN(ReferenceData!$BD$17),"",ReferenceData!$BD$17),"")</f>
        <v>-4.7750483030000002</v>
      </c>
      <c r="BE17">
        <f ca="1">IFERROR(IF(0=LEN(ReferenceData!$BE$17),"",ReferenceData!$BE$17),"")</f>
        <v>6.1629153270000003</v>
      </c>
      <c r="BF17">
        <f ca="1">IFERROR(IF(0=LEN(ReferenceData!$BF$17),"",ReferenceData!$BF$17),"")</f>
        <v>4.4237813470000003</v>
      </c>
      <c r="BG17">
        <f ca="1">IFERROR(IF(0=LEN(ReferenceData!$BG$17),"",ReferenceData!$BG$17),"")</f>
        <v>5.5869074489999999</v>
      </c>
      <c r="BH17">
        <f ca="1">IFERROR(IF(0=LEN(ReferenceData!$BH$17),"",ReferenceData!$BH$17),"")</f>
        <v>4.5252637419999999</v>
      </c>
      <c r="BI17">
        <f ca="1">IFERROR(IF(0=LEN(ReferenceData!$BI$17),"",ReferenceData!$BI$17),"")</f>
        <v>5.370421372</v>
      </c>
      <c r="BJ17">
        <f ca="1">IFERROR(IF(0=LEN(ReferenceData!$BJ$17),"",ReferenceData!$BJ$17),"")</f>
        <v>4.0225467589999999</v>
      </c>
      <c r="BK17">
        <f ca="1">IFERROR(IF(0=LEN(ReferenceData!$BK$17),"",ReferenceData!$BK$17),"")</f>
        <v>6.0033351860000002</v>
      </c>
      <c r="BL17">
        <f ca="1">IFERROR(IF(0=LEN(ReferenceData!$BL$17),"",ReferenceData!$BL$17),"")</f>
        <v>4.5756646219999997</v>
      </c>
      <c r="BM17">
        <f ca="1">IFERROR(IF(0=LEN(ReferenceData!$BM$17),"",ReferenceData!$BM$17),"")</f>
        <v>3.9064576139999998</v>
      </c>
    </row>
    <row r="18" spans="1:65">
      <c r="A18" t="str">
        <f>IFERROR(IF(0=LEN(ReferenceData!$A$18),"",ReferenceData!$A$18),"")</f>
        <v xml:space="preserve">    Regions Financial Corp</v>
      </c>
      <c r="B18" t="str">
        <f>IFERROR(IF(0=LEN(ReferenceData!$B$18),"",ReferenceData!$B$18),"")</f>
        <v>RF US Equity</v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Expression</v>
      </c>
      <c r="F18" t="str">
        <f ca="1">IFERROR(IF(0=LEN(ReferenceData!$F$18),"",ReferenceData!$F$18),"")</f>
        <v/>
      </c>
      <c r="G18">
        <f ca="1">IFERROR(IF(0=LEN(ReferenceData!$G$18),"",ReferenceData!$G$18),"")</f>
        <v>2.011173184</v>
      </c>
      <c r="H18">
        <f ca="1">IFERROR(IF(0=LEN(ReferenceData!$H$18),"",ReferenceData!$H$18),"")</f>
        <v>1.9641825530000001</v>
      </c>
      <c r="I18">
        <f ca="1">IFERROR(IF(0=LEN(ReferenceData!$I$18),"",ReferenceData!$I$18),"")</f>
        <v>2.3468803660000002</v>
      </c>
      <c r="J18">
        <f ca="1">IFERROR(IF(0=LEN(ReferenceData!$J$18),"",ReferenceData!$J$18),"")</f>
        <v>1.711761458</v>
      </c>
      <c r="K18">
        <f ca="1">IFERROR(IF(0=LEN(ReferenceData!$K$18),"",ReferenceData!$K$18),"")</f>
        <v>1.5078082930000001</v>
      </c>
      <c r="L18">
        <f ca="1">IFERROR(IF(0=LEN(ReferenceData!$L$18),"",ReferenceData!$L$18),"")</f>
        <v>1.3285641290000001</v>
      </c>
      <c r="M18">
        <f ca="1">IFERROR(IF(0=LEN(ReferenceData!$M$18),"",ReferenceData!$M$18),"")</f>
        <v>1.2301383910000001</v>
      </c>
      <c r="N18">
        <f ca="1">IFERROR(IF(0=LEN(ReferenceData!$N$18),"",ReferenceData!$N$18),"")</f>
        <v>1.033591731</v>
      </c>
      <c r="O18">
        <f ca="1">IFERROR(IF(0=LEN(ReferenceData!$O$18),"",ReferenceData!$O$18),"")</f>
        <v>1.705069124</v>
      </c>
      <c r="P18">
        <f ca="1">IFERROR(IF(0=LEN(ReferenceData!$P$18),"",ReferenceData!$P$18),"")</f>
        <v>2.5255239120000001</v>
      </c>
      <c r="Q18">
        <f ca="1">IFERROR(IF(0=LEN(ReferenceData!$Q$18),"",ReferenceData!$Q$18),"")</f>
        <v>3.0018761729999999</v>
      </c>
      <c r="R18">
        <f ca="1">IFERROR(IF(0=LEN(ReferenceData!$R$18),"",ReferenceData!$R$18),"")</f>
        <v>2.9987760099999998</v>
      </c>
      <c r="S18">
        <f ca="1">IFERROR(IF(0=LEN(ReferenceData!$S$18),"",ReferenceData!$S$18),"")</f>
        <v>2.8200789620000002</v>
      </c>
      <c r="T18">
        <f ca="1">IFERROR(IF(0=LEN(ReferenceData!$T$18),"",ReferenceData!$T$18),"")</f>
        <v>3.3501896329999998</v>
      </c>
      <c r="U18">
        <f ca="1">IFERROR(IF(0=LEN(ReferenceData!$U$18),"",ReferenceData!$U$18),"")</f>
        <v>5.5970149249999999</v>
      </c>
      <c r="V18">
        <f ca="1">IFERROR(IF(0=LEN(ReferenceData!$V$18),"",ReferenceData!$V$18),"")</f>
        <v>3.0502392340000002</v>
      </c>
      <c r="W18">
        <f ca="1">IFERROR(IF(0=LEN(ReferenceData!$W$18),"",ReferenceData!$W$18),"")</f>
        <v>6.5733414489999999</v>
      </c>
      <c r="X18">
        <f ca="1">IFERROR(IF(0=LEN(ReferenceData!$X$18),"",ReferenceData!$X$18),"")</f>
        <v>5.3074433660000002</v>
      </c>
      <c r="Y18">
        <f ca="1">IFERROR(IF(0=LEN(ReferenceData!$Y$18),"",ReferenceData!$Y$18),"")</f>
        <v>4.8124557680000004</v>
      </c>
      <c r="Z18">
        <f ca="1">IFERROR(IF(0=LEN(ReferenceData!$Z$18),"",ReferenceData!$Z$18),"")</f>
        <v>3.3401499659999998</v>
      </c>
      <c r="AA18">
        <f ca="1">IFERROR(IF(0=LEN(ReferenceData!$AA$18),"",ReferenceData!$AA$18),"")</f>
        <v>3.7458193980000001</v>
      </c>
      <c r="AB18">
        <f ca="1">IFERROR(IF(0=LEN(ReferenceData!$AB$18),"",ReferenceData!$AB$18),"")</f>
        <v>2.158774373</v>
      </c>
      <c r="AC18">
        <f ca="1">IFERROR(IF(0=LEN(ReferenceData!$AC$18),"",ReferenceData!$AC$18),"")</f>
        <v>1.850582591</v>
      </c>
      <c r="AD18">
        <f ca="1">IFERROR(IF(0=LEN(ReferenceData!$AD$18),"",ReferenceData!$AD$18),"")</f>
        <v>2.08913649</v>
      </c>
      <c r="AE18">
        <f ca="1">IFERROR(IF(0=LEN(ReferenceData!$AE$18),"",ReferenceData!$AE$18),"")</f>
        <v>2.1902806300000002</v>
      </c>
      <c r="AF18">
        <f ca="1">IFERROR(IF(0=LEN(ReferenceData!$AF$18),"",ReferenceData!$AF$18),"")</f>
        <v>2.5730180809999998</v>
      </c>
      <c r="AG18">
        <f ca="1">IFERROR(IF(0=LEN(ReferenceData!$AG$18),"",ReferenceData!$AG$18),"")</f>
        <v>2.676056338</v>
      </c>
      <c r="AH18">
        <f ca="1">IFERROR(IF(0=LEN(ReferenceData!$AH$18),"",ReferenceData!$AH$18),"")</f>
        <v>2.545968883</v>
      </c>
      <c r="AI18">
        <f ca="1">IFERROR(IF(0=LEN(ReferenceData!$AI$18),"",ReferenceData!$AI$18),"")</f>
        <v>2.3205221169999999</v>
      </c>
      <c r="AJ18">
        <f ca="1">IFERROR(IF(0=LEN(ReferenceData!$AJ$18),"",ReferenceData!$AJ$18),"")</f>
        <v>2.9154518949999999</v>
      </c>
      <c r="AK18">
        <f ca="1">IFERROR(IF(0=LEN(ReferenceData!$AK$18),"",ReferenceData!$AK$18),"")</f>
        <v>3.0688622749999999</v>
      </c>
      <c r="AL18">
        <f ca="1">IFERROR(IF(0=LEN(ReferenceData!$AL$18),"",ReferenceData!$AL$18),"")</f>
        <v>3.4874290349999999</v>
      </c>
      <c r="AM18">
        <f ca="1">IFERROR(IF(0=LEN(ReferenceData!$AM$18),"",ReferenceData!$AM$18),"")</f>
        <v>3.2078103210000002</v>
      </c>
      <c r="AN18">
        <f ca="1">IFERROR(IF(0=LEN(ReferenceData!$AN$18),"",ReferenceData!$AN$18),"")</f>
        <v>3.3478893740000002</v>
      </c>
      <c r="AO18">
        <f ca="1">IFERROR(IF(0=LEN(ReferenceData!$AO$18),"",ReferenceData!$AO$18),"")</f>
        <v>2.7777777779999999</v>
      </c>
      <c r="AP18">
        <f ca="1">IFERROR(IF(0=LEN(ReferenceData!$AP$18),"",ReferenceData!$AP$18),"")</f>
        <v>2.7407407410000002</v>
      </c>
      <c r="AQ18">
        <f ca="1">IFERROR(IF(0=LEN(ReferenceData!$AQ$18),"",ReferenceData!$AQ$18),"")</f>
        <v>2.9257314330000002</v>
      </c>
      <c r="AR18">
        <f ca="1">IFERROR(IF(0=LEN(ReferenceData!$AR$18),"",ReferenceData!$AR$18),"")</f>
        <v>3.2624113480000001</v>
      </c>
      <c r="AS18">
        <f ca="1">IFERROR(IF(0=LEN(ReferenceData!$AS$18),"",ReferenceData!$AS$18),"")</f>
        <v>3.1128404669999998</v>
      </c>
      <c r="AT18">
        <f ca="1">IFERROR(IF(0=LEN(ReferenceData!$AT$18),"",ReferenceData!$AT$18),"")</f>
        <v>2.086553323</v>
      </c>
      <c r="AU18">
        <f ca="1">IFERROR(IF(0=LEN(ReferenceData!$AU$18),"",ReferenceData!$AU$18),"")</f>
        <v>2.959028832</v>
      </c>
      <c r="AV18">
        <f ca="1">IFERROR(IF(0=LEN(ReferenceData!$AV$18),"",ReferenceData!$AV$18),"")</f>
        <v>3.3127889060000002</v>
      </c>
      <c r="AW18">
        <f ca="1">IFERROR(IF(0=LEN(ReferenceData!$AW$18),"",ReferenceData!$AW$18),"")</f>
        <v>3.1421838179999999</v>
      </c>
      <c r="AX18">
        <f ca="1">IFERROR(IF(0=LEN(ReferenceData!$AX$18),"",ReferenceData!$AX$18),"")</f>
        <v>3.166421208</v>
      </c>
      <c r="AY18">
        <f ca="1">IFERROR(IF(0=LEN(ReferenceData!$AY$18),"",ReferenceData!$AY$18),"")</f>
        <v>3.942380591</v>
      </c>
      <c r="AZ18">
        <f ca="1">IFERROR(IF(0=LEN(ReferenceData!$AZ$18),"",ReferenceData!$AZ$18),"")</f>
        <v>5.2873563219999999</v>
      </c>
      <c r="BA18">
        <f ca="1">IFERROR(IF(0=LEN(ReferenceData!$BA$18),"",ReferenceData!$BA$18),"")</f>
        <v>5.542725173</v>
      </c>
      <c r="BB18">
        <f ca="1">IFERROR(IF(0=LEN(ReferenceData!$BB$18),"",ReferenceData!$BB$18),"")</f>
        <v>6.6469719349999998</v>
      </c>
      <c r="BC18">
        <f ca="1">IFERROR(IF(0=LEN(ReferenceData!$BC$18),"",ReferenceData!$BC$18),"")</f>
        <v>7.8518518520000002</v>
      </c>
      <c r="BD18">
        <f ca="1">IFERROR(IF(0=LEN(ReferenceData!$BD$18),"",ReferenceData!$BD$18),"")</f>
        <v>6.6914498140000003</v>
      </c>
      <c r="BE18">
        <f ca="1">IFERROR(IF(0=LEN(ReferenceData!$BE$18),"",ReferenceData!$BE$18),"")</f>
        <v>5.6994818650000001</v>
      </c>
      <c r="BF18">
        <f ca="1">IFERROR(IF(0=LEN(ReferenceData!$BF$18),"",ReferenceData!$BF$18),"")</f>
        <v>4.2035398229999998</v>
      </c>
      <c r="BG18">
        <f ca="1">IFERROR(IF(0=LEN(ReferenceData!$BG$18),"",ReferenceData!$BG$18),"")</f>
        <v>4.9889948640000004</v>
      </c>
      <c r="BH18">
        <f ca="1">IFERROR(IF(0=LEN(ReferenceData!$BH$18),"",ReferenceData!$BH$18),"")</f>
        <v>3.573981415</v>
      </c>
      <c r="BI18">
        <f ca="1">IFERROR(IF(0=LEN(ReferenceData!$BI$18),"",ReferenceData!$BI$18),"")</f>
        <v>3.1358885019999998</v>
      </c>
      <c r="BJ18">
        <f ca="1">IFERROR(IF(0=LEN(ReferenceData!$BJ$18),"",ReferenceData!$BJ$18),"")</f>
        <v>2.8603477289999999</v>
      </c>
      <c r="BK18">
        <f ca="1">IFERROR(IF(0=LEN(ReferenceData!$BK$18),"",ReferenceData!$BK$18),"")</f>
        <v>4.0791100120000001</v>
      </c>
      <c r="BL18">
        <f ca="1">IFERROR(IF(0=LEN(ReferenceData!$BL$18),"",ReferenceData!$BL$18),"")</f>
        <v>3.9081885860000001</v>
      </c>
      <c r="BM18" t="str">
        <f ca="1">IFERROR(IF(0=LEN(ReferenceData!$BM$18),"",ReferenceData!$BM$18),"")</f>
        <v/>
      </c>
    </row>
    <row r="19" spans="1:65">
      <c r="A19" t="str">
        <f>IFERROR(IF(0=LEN(ReferenceData!$A$19),"",ReferenceData!$A$19),"")</f>
        <v xml:space="preserve">    Truist Financial Corp</v>
      </c>
      <c r="B19" t="str">
        <f>IFERROR(IF(0=LEN(ReferenceData!$B$19),"",ReferenceData!$B$19),"")</f>
        <v>TFC US Equity</v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Expression</v>
      </c>
      <c r="F19" t="str">
        <f ca="1">IFERROR(IF(0=LEN(ReferenceData!$F$19),"",ReferenceData!$F$19),"")</f>
        <v/>
      </c>
      <c r="G19">
        <f ca="1">IFERROR(IF(0=LEN(ReferenceData!$G$19),"",ReferenceData!$G$19),"")</f>
        <v>2.0845624389999999</v>
      </c>
      <c r="H19">
        <f ca="1">IFERROR(IF(0=LEN(ReferenceData!$H$19),"",ReferenceData!$H$19),"")</f>
        <v>-6.6468842730000004</v>
      </c>
      <c r="I19">
        <f ca="1">IFERROR(IF(0=LEN(ReferenceData!$I$19),"",ReferenceData!$I$19),"")</f>
        <v>2.0132835199999999</v>
      </c>
      <c r="J19">
        <f ca="1">IFERROR(IF(0=LEN(ReferenceData!$J$19),"",ReferenceData!$J$19),"")</f>
        <v>1.9254403929999999</v>
      </c>
      <c r="K19">
        <f ca="1">IFERROR(IF(0=LEN(ReferenceData!$K$19),"",ReferenceData!$K$19),"")</f>
        <v>1.7983074750000001</v>
      </c>
      <c r="L19">
        <f ca="1">IFERROR(IF(0=LEN(ReferenceData!$L$19),"",ReferenceData!$L$19),"")</f>
        <v>1.986754967</v>
      </c>
      <c r="M19">
        <f ca="1">IFERROR(IF(0=LEN(ReferenceData!$M$19),"",ReferenceData!$M$19),"")</f>
        <v>2.6853252649999999</v>
      </c>
      <c r="N19">
        <f ca="1">IFERROR(IF(0=LEN(ReferenceData!$N$19),"",ReferenceData!$N$19),"")</f>
        <v>1.884664948</v>
      </c>
      <c r="O19">
        <f ca="1">IFERROR(IF(0=LEN(ReferenceData!$O$19),"",ReferenceData!$O$19),"")</f>
        <v>2.0865401060000002</v>
      </c>
      <c r="P19">
        <f ca="1">IFERROR(IF(0=LEN(ReferenceData!$P$19),"",ReferenceData!$P$19),"")</f>
        <v>1.308576481</v>
      </c>
      <c r="Q19">
        <f ca="1">IFERROR(IF(0=LEN(ReferenceData!$Q$19),"",ReferenceData!$Q$19),"")</f>
        <v>1.6713615020000001</v>
      </c>
      <c r="R19">
        <f ca="1">IFERROR(IF(0=LEN(ReferenceData!$R$19),"",ReferenceData!$R$19),"")</f>
        <v>2.8566295359999998</v>
      </c>
      <c r="S19">
        <f ca="1">IFERROR(IF(0=LEN(ReferenceData!$S$19),"",ReferenceData!$S$19),"")</f>
        <v>3.197570561</v>
      </c>
      <c r="T19">
        <f ca="1">IFERROR(IF(0=LEN(ReferenceData!$T$19),"",ReferenceData!$T$19),"")</f>
        <v>2.0707964599999999</v>
      </c>
      <c r="U19">
        <f ca="1">IFERROR(IF(0=LEN(ReferenceData!$U$19),"",ReferenceData!$U$19),"")</f>
        <v>1.824151769</v>
      </c>
      <c r="V19" t="str">
        <f ca="1">IFERROR(IF(0=LEN(ReferenceData!$V$19),"",ReferenceData!$V$19),"")</f>
        <v/>
      </c>
      <c r="W19">
        <f ca="1">IFERROR(IF(0=LEN(ReferenceData!$W$19),"",ReferenceData!$W$19),"")</f>
        <v>3.9662598710000001</v>
      </c>
      <c r="X19">
        <f ca="1">IFERROR(IF(0=LEN(ReferenceData!$X$19),"",ReferenceData!$X$19),"")</f>
        <v>5.8082098450000004</v>
      </c>
      <c r="Y19">
        <f ca="1">IFERROR(IF(0=LEN(ReferenceData!$Y$19),"",ReferenceData!$Y$19),"")</f>
        <v>4.3664230970000002</v>
      </c>
      <c r="Z19">
        <f ca="1">IFERROR(IF(0=LEN(ReferenceData!$Z$19),"",ReferenceData!$Z$19),"")</f>
        <v>1.7931034480000001</v>
      </c>
      <c r="AA19">
        <f ca="1">IFERROR(IF(0=LEN(ReferenceData!$AA$19),"",ReferenceData!$AA$19),"")</f>
        <v>2.6640026639999999</v>
      </c>
      <c r="AB19">
        <f ca="1">IFERROR(IF(0=LEN(ReferenceData!$AB$19),"",ReferenceData!$AB$19),"")</f>
        <v>2.9914529910000001</v>
      </c>
      <c r="AC19">
        <f ca="1">IFERROR(IF(0=LEN(ReferenceData!$AC$19),"",ReferenceData!$AC$19),"")</f>
        <v>1.690821256</v>
      </c>
      <c r="AD19">
        <f ca="1">IFERROR(IF(0=LEN(ReferenceData!$AD$19),"",ReferenceData!$AD$19),"")</f>
        <v>1.972789116</v>
      </c>
      <c r="AE19">
        <f ca="1">IFERROR(IF(0=LEN(ReferenceData!$AE$19),"",ReferenceData!$AE$19),"")</f>
        <v>2.6999316470000001</v>
      </c>
      <c r="AF19">
        <f ca="1">IFERROR(IF(0=LEN(ReferenceData!$AF$19),"",ReferenceData!$AF$19),"")</f>
        <v>3.2650225769999999</v>
      </c>
      <c r="AG19">
        <f ca="1">IFERROR(IF(0=LEN(ReferenceData!$AG$19),"",ReferenceData!$AG$19),"")</f>
        <v>3.519374333</v>
      </c>
      <c r="AH19">
        <f ca="1">IFERROR(IF(0=LEN(ReferenceData!$AH$19),"",ReferenceData!$AH$19),"")</f>
        <v>3.6249564310000002</v>
      </c>
      <c r="AI19">
        <f ca="1">IFERROR(IF(0=LEN(ReferenceData!$AI$19),"",ReferenceData!$AI$19),"")</f>
        <v>4.0526128689999998</v>
      </c>
      <c r="AJ19">
        <f ca="1">IFERROR(IF(0=LEN(ReferenceData!$AJ$19),"",ReferenceData!$AJ$19),"")</f>
        <v>3.2924693519999999</v>
      </c>
      <c r="AK19">
        <f ca="1">IFERROR(IF(0=LEN(ReferenceData!$AK$19),"",ReferenceData!$AK$19),"")</f>
        <v>3.705035971</v>
      </c>
      <c r="AL19">
        <f ca="1">IFERROR(IF(0=LEN(ReferenceData!$AL$19),"",ReferenceData!$AL$19),"")</f>
        <v>3.9237257059999999</v>
      </c>
      <c r="AM19">
        <f ca="1">IFERROR(IF(0=LEN(ReferenceData!$AM$19),"",ReferenceData!$AM$19),"")</f>
        <v>5.5515501079999998</v>
      </c>
      <c r="AN19">
        <f ca="1">IFERROR(IF(0=LEN(ReferenceData!$AN$19),"",ReferenceData!$AN$19),"")</f>
        <v>4.0407717510000003</v>
      </c>
      <c r="AO19">
        <f ca="1">IFERROR(IF(0=LEN(ReferenceData!$AO$19),"",ReferenceData!$AO$19),"")</f>
        <v>3.5756385069999999</v>
      </c>
      <c r="AP19">
        <f ca="1">IFERROR(IF(0=LEN(ReferenceData!$AP$19),"",ReferenceData!$AP$19),"")</f>
        <v>4.1286224689999997</v>
      </c>
      <c r="AQ19">
        <f ca="1">IFERROR(IF(0=LEN(ReferenceData!$AQ$19),"",ReferenceData!$AQ$19),"")</f>
        <v>4.5269168029999998</v>
      </c>
      <c r="AR19">
        <f ca="1">IFERROR(IF(0=LEN(ReferenceData!$AR$19),"",ReferenceData!$AR$19),"")</f>
        <v>5.5770055770000004</v>
      </c>
      <c r="AS19">
        <f ca="1">IFERROR(IF(0=LEN(ReferenceData!$AS$19),"",ReferenceData!$AS$19),"")</f>
        <v>4.763967085</v>
      </c>
      <c r="AT19">
        <f ca="1">IFERROR(IF(0=LEN(ReferenceData!$AT$19),"",ReferenceData!$AT$19),"")</f>
        <v>5.4724241129999998</v>
      </c>
      <c r="AU19">
        <f ca="1">IFERROR(IF(0=LEN(ReferenceData!$AU$19),"",ReferenceData!$AU$19),"")</f>
        <v>4.6827133480000001</v>
      </c>
      <c r="AV19">
        <f ca="1">IFERROR(IF(0=LEN(ReferenceData!$AV$19),"",ReferenceData!$AV$19),"")</f>
        <v>3.7785588749999999</v>
      </c>
      <c r="AW19">
        <f ca="1">IFERROR(IF(0=LEN(ReferenceData!$AW$19),"",ReferenceData!$AW$19),"")</f>
        <v>3.2541776609999999</v>
      </c>
      <c r="AX19">
        <f ca="1">IFERROR(IF(0=LEN(ReferenceData!$AX$19),"",ReferenceData!$AX$19),"")</f>
        <v>4.2607584149999997</v>
      </c>
      <c r="AY19">
        <f ca="1">IFERROR(IF(0=LEN(ReferenceData!$AY$19),"",ReferenceData!$AY$19),"")</f>
        <v>5.03875969</v>
      </c>
      <c r="AZ19">
        <f ca="1">IFERROR(IF(0=LEN(ReferenceData!$AZ$19),"",ReferenceData!$AZ$19),"")</f>
        <v>6.8264932949999997</v>
      </c>
      <c r="BA19">
        <f ca="1">IFERROR(IF(0=LEN(ReferenceData!$BA$19),"",ReferenceData!$BA$19),"")</f>
        <v>7.4288072639999996</v>
      </c>
      <c r="BB19">
        <f ca="1">IFERROR(IF(0=LEN(ReferenceData!$BB$19),"",ReferenceData!$BB$19),"")</f>
        <v>9.254807692</v>
      </c>
      <c r="BC19">
        <f ca="1">IFERROR(IF(0=LEN(ReferenceData!$BC$19),"",ReferenceData!$BC$19),"")</f>
        <v>8.6263287000000002</v>
      </c>
      <c r="BD19">
        <f ca="1">IFERROR(IF(0=LEN(ReferenceData!$BD$19),"",ReferenceData!$BD$19),"")</f>
        <v>7.4958813839999996</v>
      </c>
      <c r="BE19">
        <f ca="1">IFERROR(IF(0=LEN(ReferenceData!$BE$19),"",ReferenceData!$BE$19),"")</f>
        <v>9.3628088429999998</v>
      </c>
      <c r="BF19">
        <f ca="1">IFERROR(IF(0=LEN(ReferenceData!$BF$19),"",ReferenceData!$BF$19),"")</f>
        <v>5.6866048859999996</v>
      </c>
      <c r="BG19">
        <f ca="1">IFERROR(IF(0=LEN(ReferenceData!$BG$19),"",ReferenceData!$BG$19),"")</f>
        <v>5.8404558399999997</v>
      </c>
      <c r="BH19">
        <f ca="1">IFERROR(IF(0=LEN(ReferenceData!$BH$19),"",ReferenceData!$BH$19),"")</f>
        <v>3.8766931339999999</v>
      </c>
      <c r="BI19">
        <f ca="1">IFERROR(IF(0=LEN(ReferenceData!$BI$19),"",ReferenceData!$BI$19),"")</f>
        <v>4.7523761880000004</v>
      </c>
      <c r="BJ19">
        <f ca="1">IFERROR(IF(0=LEN(ReferenceData!$BJ$19),"",ReferenceData!$BJ$19),"")</f>
        <v>6.0104529619999996</v>
      </c>
      <c r="BK19">
        <f ca="1">IFERROR(IF(0=LEN(ReferenceData!$BK$19),"",ReferenceData!$BK$19),"")</f>
        <v>7.5907590760000003</v>
      </c>
      <c r="BL19">
        <f ca="1">IFERROR(IF(0=LEN(ReferenceData!$BL$19),"",ReferenceData!$BL$19),"")</f>
        <v>4.5852438519999996</v>
      </c>
      <c r="BM19" t="str">
        <f ca="1">IFERROR(IF(0=LEN(ReferenceData!$BM$19),"",ReferenceData!$BM$19),"")</f>
        <v/>
      </c>
    </row>
    <row r="20" spans="1:65">
      <c r="A20" t="str">
        <f>IFERROR(IF(0=LEN(ReferenceData!$A$20),"",ReferenceData!$A$20),"")</f>
        <v xml:space="preserve">    US Bancorp</v>
      </c>
      <c r="B20" t="str">
        <f>IFERROR(IF(0=LEN(ReferenceData!$B$20),"",ReferenceData!$B$20),"")</f>
        <v>USB US Equity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Expression</v>
      </c>
      <c r="F20" t="str">
        <f ca="1">IFERROR(IF(0=LEN(ReferenceData!$F$20),"",ReferenceData!$F$20),"")</f>
        <v/>
      </c>
      <c r="G20">
        <f ca="1">IFERROR(IF(0=LEN(ReferenceData!$G$20),"",ReferenceData!$G$20),"")</f>
        <v>2.2684033370000001</v>
      </c>
      <c r="H20">
        <f ca="1">IFERROR(IF(0=LEN(ReferenceData!$H$20),"",ReferenceData!$H$20),"")</f>
        <v>2.7785902309999999</v>
      </c>
      <c r="I20">
        <f ca="1">IFERROR(IF(0=LEN(ReferenceData!$I$20),"",ReferenceData!$I$20),"")</f>
        <v>2.483171279</v>
      </c>
      <c r="J20">
        <f ca="1">IFERROR(IF(0=LEN(ReferenceData!$J$20),"",ReferenceData!$J$20),"")</f>
        <v>2.0353587879999999</v>
      </c>
      <c r="K20">
        <f ca="1">IFERROR(IF(0=LEN(ReferenceData!$K$20),"",ReferenceData!$K$20),"")</f>
        <v>2.0571428570000001</v>
      </c>
      <c r="L20">
        <f ca="1">IFERROR(IF(0=LEN(ReferenceData!$L$20),"",ReferenceData!$L$20),"")</f>
        <v>1.834476964</v>
      </c>
      <c r="M20">
        <f ca="1">IFERROR(IF(0=LEN(ReferenceData!$M$20),"",ReferenceData!$M$20),"")</f>
        <v>1.792466041</v>
      </c>
      <c r="N20">
        <f ca="1">IFERROR(IF(0=LEN(ReferenceData!$N$20),"",ReferenceData!$N$20),"")</f>
        <v>1.641414141</v>
      </c>
      <c r="O20">
        <f ca="1">IFERROR(IF(0=LEN(ReferenceData!$O$20),"",ReferenceData!$O$20),"")</f>
        <v>1.286531131</v>
      </c>
      <c r="P20">
        <f ca="1">IFERROR(IF(0=LEN(ReferenceData!$P$20),"",ReferenceData!$P$20),"")</f>
        <v>2.3733912749999999</v>
      </c>
      <c r="Q20">
        <f ca="1">IFERROR(IF(0=LEN(ReferenceData!$Q$20),"",ReferenceData!$Q$20),"")</f>
        <v>3.5913090319999998</v>
      </c>
      <c r="R20">
        <f ca="1">IFERROR(IF(0=LEN(ReferenceData!$R$20),"",ReferenceData!$R$20),"")</f>
        <v>5.2678097929999996</v>
      </c>
      <c r="S20">
        <f ca="1">IFERROR(IF(0=LEN(ReferenceData!$S$20),"",ReferenceData!$S$20),"")</f>
        <v>7.128240109</v>
      </c>
      <c r="T20">
        <f ca="1">IFERROR(IF(0=LEN(ReferenceData!$T$20),"",ReferenceData!$T$20),"")</f>
        <v>6.0111188330000003</v>
      </c>
      <c r="U20">
        <f ca="1">IFERROR(IF(0=LEN(ReferenceData!$U$20),"",ReferenceData!$U$20),"")</f>
        <v>5.4922850839999997</v>
      </c>
      <c r="V20">
        <f ca="1">IFERROR(IF(0=LEN(ReferenceData!$V$20),"",ReferenceData!$V$20),"")</f>
        <v>8.1746724890000007</v>
      </c>
      <c r="W20">
        <f ca="1">IFERROR(IF(0=LEN(ReferenceData!$W$20),"",ReferenceData!$W$20),"")</f>
        <v>9.3113318740000004</v>
      </c>
      <c r="X20">
        <f ca="1">IFERROR(IF(0=LEN(ReferenceData!$X$20),"",ReferenceData!$X$20),"")</f>
        <v>11.14551084</v>
      </c>
      <c r="Y20">
        <f ca="1">IFERROR(IF(0=LEN(ReferenceData!$Y$20),"",ReferenceData!$Y$20),"")</f>
        <v>6.8719554629999999</v>
      </c>
      <c r="Z20">
        <f ca="1">IFERROR(IF(0=LEN(ReferenceData!$Z$20),"",ReferenceData!$Z$20),"")</f>
        <v>4.323941166</v>
      </c>
      <c r="AA20">
        <f ca="1">IFERROR(IF(0=LEN(ReferenceData!$AA$20),"",ReferenceData!$AA$20),"")</f>
        <v>4.6140797290000002</v>
      </c>
      <c r="AB20">
        <f ca="1">IFERROR(IF(0=LEN(ReferenceData!$AB$20),"",ReferenceData!$AB$20),"")</f>
        <v>3.2614322690000002</v>
      </c>
      <c r="AC20">
        <f ca="1">IFERROR(IF(0=LEN(ReferenceData!$AC$20),"",ReferenceData!$AC$20),"")</f>
        <v>3.0450450450000002</v>
      </c>
      <c r="AD20">
        <f ca="1">IFERROR(IF(0=LEN(ReferenceData!$AD$20),"",ReferenceData!$AD$20),"")</f>
        <v>2.9477676260000001</v>
      </c>
      <c r="AE20">
        <f ca="1">IFERROR(IF(0=LEN(ReferenceData!$AE$20),"",ReferenceData!$AE$20),"")</f>
        <v>3.0693243959999998</v>
      </c>
      <c r="AF20">
        <f ca="1">IFERROR(IF(0=LEN(ReferenceData!$AF$20),"",ReferenceData!$AF$20),"")</f>
        <v>3.404027803</v>
      </c>
      <c r="AG20">
        <f ca="1">IFERROR(IF(0=LEN(ReferenceData!$AG$20),"",ReferenceData!$AG$20),"")</f>
        <v>3.3823529410000002</v>
      </c>
      <c r="AH20">
        <f ca="1">IFERROR(IF(0=LEN(ReferenceData!$AH$20),"",ReferenceData!$AH$20),"")</f>
        <v>3.6429215510000001</v>
      </c>
      <c r="AI20">
        <f ca="1">IFERROR(IF(0=LEN(ReferenceData!$AI$20),"",ReferenceData!$AI$20),"")</f>
        <v>3.8614938360000002</v>
      </c>
      <c r="AJ20">
        <f ca="1">IFERROR(IF(0=LEN(ReferenceData!$AJ$20),"",ReferenceData!$AJ$20),"")</f>
        <v>3.9281082079999998</v>
      </c>
      <c r="AK20">
        <f ca="1">IFERROR(IF(0=LEN(ReferenceData!$AK$20),"",ReferenceData!$AK$20),"")</f>
        <v>3.9511357130000002</v>
      </c>
      <c r="AL20">
        <f ca="1">IFERROR(IF(0=LEN(ReferenceData!$AL$20),"",ReferenceData!$AL$20),"")</f>
        <v>4.4559970289999997</v>
      </c>
      <c r="AM20">
        <f ca="1">IFERROR(IF(0=LEN(ReferenceData!$AM$20),"",ReferenceData!$AM$20),"")</f>
        <v>5.8823529409999997</v>
      </c>
      <c r="AN20">
        <f ca="1">IFERROR(IF(0=LEN(ReferenceData!$AN$20),"",ReferenceData!$AN$20),"")</f>
        <v>4.4098573280000002</v>
      </c>
      <c r="AO20">
        <f ca="1">IFERROR(IF(0=LEN(ReferenceData!$AO$20),"",ReferenceData!$AO$20),"")</f>
        <v>3.7520064209999999</v>
      </c>
      <c r="AP20">
        <f ca="1">IFERROR(IF(0=LEN(ReferenceData!$AP$20),"",ReferenceData!$AP$20),"")</f>
        <v>4.0899399110000001</v>
      </c>
      <c r="AQ20">
        <f ca="1">IFERROR(IF(0=LEN(ReferenceData!$AQ$20),"",ReferenceData!$AQ$20),"")</f>
        <v>4.3973301920000001</v>
      </c>
      <c r="AR20">
        <f ca="1">IFERROR(IF(0=LEN(ReferenceData!$AR$20),"",ReferenceData!$AR$20),"")</f>
        <v>4.6311146750000001</v>
      </c>
      <c r="AS20">
        <f ca="1">IFERROR(IF(0=LEN(ReferenceData!$AS$20),"",ReferenceData!$AS$20),"")</f>
        <v>4.9464138499999999</v>
      </c>
      <c r="AT20">
        <f ca="1">IFERROR(IF(0=LEN(ReferenceData!$AT$20),"",ReferenceData!$AT$20),"")</f>
        <v>4.5952287839999997</v>
      </c>
      <c r="AU20">
        <f ca="1">IFERROR(IF(0=LEN(ReferenceData!$AU$20),"",ReferenceData!$AU$20),"")</f>
        <v>5.2695581679999997</v>
      </c>
      <c r="AV20">
        <f ca="1">IFERROR(IF(0=LEN(ReferenceData!$AV$20),"",ReferenceData!$AV$20),"")</f>
        <v>5.4159360999999997</v>
      </c>
      <c r="AW20">
        <f ca="1">IFERROR(IF(0=LEN(ReferenceData!$AW$20),"",ReferenceData!$AW$20),"")</f>
        <v>4.9600672550000002</v>
      </c>
      <c r="AX20">
        <f ca="1">IFERROR(IF(0=LEN(ReferenceData!$AX$20),"",ReferenceData!$AX$20),"")</f>
        <v>4.7796399750000003</v>
      </c>
      <c r="AY20">
        <f ca="1">IFERROR(IF(0=LEN(ReferenceData!$AY$20),"",ReferenceData!$AY$20),"")</f>
        <v>6.7838676319999998</v>
      </c>
      <c r="AZ20">
        <f ca="1">IFERROR(IF(0=LEN(ReferenceData!$AZ$20),"",ReferenceData!$AZ$20),"")</f>
        <v>8.0948487329999992</v>
      </c>
      <c r="BA20">
        <f ca="1">IFERROR(IF(0=LEN(ReferenceData!$BA$20),"",ReferenceData!$BA$20),"")</f>
        <v>8.3229555830000006</v>
      </c>
      <c r="BB20">
        <f ca="1">IFERROR(IF(0=LEN(ReferenceData!$BB$20),"",ReferenceData!$BB$20),"")</f>
        <v>9.4145569620000007</v>
      </c>
      <c r="BC20">
        <f ca="1">IFERROR(IF(0=LEN(ReferenceData!$BC$20),"",ReferenceData!$BC$20),"")</f>
        <v>10.132760640000001</v>
      </c>
      <c r="BD20">
        <f ca="1">IFERROR(IF(0=LEN(ReferenceData!$BD$20),"",ReferenceData!$BD$20),"")</f>
        <v>9.7745860760000003</v>
      </c>
      <c r="BE20">
        <f ca="1">IFERROR(IF(0=LEN(ReferenceData!$BE$20),"",ReferenceData!$BE$20),"")</f>
        <v>9.2756002459999998</v>
      </c>
      <c r="BF20">
        <f ca="1">IFERROR(IF(0=LEN(ReferenceData!$BF$20),"",ReferenceData!$BF$20),"")</f>
        <v>6.0023771789999998</v>
      </c>
      <c r="BG20">
        <f ca="1">IFERROR(IF(0=LEN(ReferenceData!$BG$20),"",ReferenceData!$BG$20),"")</f>
        <v>5.1720498209999999</v>
      </c>
      <c r="BH20">
        <f ca="1">IFERROR(IF(0=LEN(ReferenceData!$BH$20),"",ReferenceData!$BH$20),"")</f>
        <v>5.1575312899999997</v>
      </c>
      <c r="BI20">
        <f ca="1">IFERROR(IF(0=LEN(ReferenceData!$BI$20),"",ReferenceData!$BI$20),"")</f>
        <v>4.4578853049999996</v>
      </c>
      <c r="BJ20">
        <f ca="1">IFERROR(IF(0=LEN(ReferenceData!$BJ$20),"",ReferenceData!$BJ$20),"")</f>
        <v>5.3556126820000003</v>
      </c>
      <c r="BK20">
        <f ca="1">IFERROR(IF(0=LEN(ReferenceData!$BK$20),"",ReferenceData!$BK$20),"")</f>
        <v>6.837229819</v>
      </c>
      <c r="BL20">
        <f ca="1">IFERROR(IF(0=LEN(ReferenceData!$BL$20),"",ReferenceData!$BL$20),"")</f>
        <v>5.4398925450000002</v>
      </c>
      <c r="BM20" t="str">
        <f ca="1">IFERROR(IF(0=LEN(ReferenceData!$BM$20),"",ReferenceData!$BM$20),"")</f>
        <v/>
      </c>
    </row>
    <row r="21" spans="1:65">
      <c r="A21" t="str">
        <f>IFERROR(IF(0=LEN(ReferenceData!$A$21),"",ReferenceData!$A$21),"")</f>
        <v xml:space="preserve">    Wells Fargo &amp; Co</v>
      </c>
      <c r="B21" t="str">
        <f>IFERROR(IF(0=LEN(ReferenceData!$B$21),"",ReferenceData!$B$21),"")</f>
        <v>WFC US Equity</v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Expression</v>
      </c>
      <c r="F21" t="str">
        <f ca="1">IFERROR(IF(0=LEN(ReferenceData!$F$21),"",ReferenceData!$F$21),"")</f>
        <v/>
      </c>
      <c r="G21">
        <f ca="1">IFERROR(IF(0=LEN(ReferenceData!$G$21),"",ReferenceData!$G$21),"")</f>
        <v>1.37484042</v>
      </c>
      <c r="H21">
        <f ca="1">IFERROR(IF(0=LEN(ReferenceData!$H$21),"",ReferenceData!$H$21),"")</f>
        <v>1.174537194</v>
      </c>
      <c r="I21">
        <f ca="1">IFERROR(IF(0=LEN(ReferenceData!$I$21),"",ReferenceData!$I$21),"")</f>
        <v>1.102430139</v>
      </c>
      <c r="J21">
        <f ca="1">IFERROR(IF(0=LEN(ReferenceData!$J$21),"",ReferenceData!$J$21),"")</f>
        <v>0.98642445599999995</v>
      </c>
      <c r="K21">
        <f ca="1">IFERROR(IF(0=LEN(ReferenceData!$K$21),"",ReferenceData!$K$21),"")</f>
        <v>0.92534880399999997</v>
      </c>
      <c r="L21">
        <f ca="1">IFERROR(IF(0=LEN(ReferenceData!$L$21),"",ReferenceData!$L$21),"")</f>
        <v>0.98378220400000005</v>
      </c>
      <c r="M21">
        <f ca="1">IFERROR(IF(0=LEN(ReferenceData!$M$21),"",ReferenceData!$M$21),"")</f>
        <v>1.119204979</v>
      </c>
      <c r="N21">
        <f ca="1">IFERROR(IF(0=LEN(ReferenceData!$N$21),"",ReferenceData!$N$21),"")</f>
        <v>0.39432963999999998</v>
      </c>
      <c r="O21">
        <f ca="1">IFERROR(IF(0=LEN(ReferenceData!$O$21),"",ReferenceData!$O$21),"")</f>
        <v>1.6559337629999999</v>
      </c>
      <c r="P21">
        <f ca="1">IFERROR(IF(0=LEN(ReferenceData!$P$21),"",ReferenceData!$P$21),"")</f>
        <v>1.6842722999999999</v>
      </c>
      <c r="Q21">
        <f ca="1">IFERROR(IF(0=LEN(ReferenceData!$Q$21),"",ReferenceData!$Q$21),"")</f>
        <v>3.9090703969999998</v>
      </c>
      <c r="R21">
        <f ca="1">IFERROR(IF(0=LEN(ReferenceData!$R$21),"",ReferenceData!$R$21),"")</f>
        <v>4.9626006900000004</v>
      </c>
      <c r="S21">
        <f ca="1">IFERROR(IF(0=LEN(ReferenceData!$S$21),"",ReferenceData!$S$21),"")</f>
        <v>6.684719125</v>
      </c>
      <c r="T21">
        <f ca="1">IFERROR(IF(0=LEN(ReferenceData!$T$21),"",ReferenceData!$T$21),"")</f>
        <v>6.5910212140000004</v>
      </c>
      <c r="U21">
        <f ca="1">IFERROR(IF(0=LEN(ReferenceData!$U$21),"",ReferenceData!$U$21),"")</f>
        <v>7.1551910210000003</v>
      </c>
      <c r="V21">
        <f ca="1">IFERROR(IF(0=LEN(ReferenceData!$V$21),"",ReferenceData!$V$21),"")</f>
        <v>6.5282059600000002</v>
      </c>
      <c r="W21">
        <f ca="1">IFERROR(IF(0=LEN(ReferenceData!$W$21),"",ReferenceData!$W$21),"")</f>
        <v>8.2315179129999994</v>
      </c>
      <c r="X21">
        <f ca="1">IFERROR(IF(0=LEN(ReferenceData!$X$21),"",ReferenceData!$X$21),"")</f>
        <v>1.733566663</v>
      </c>
      <c r="Y21">
        <f ca="1">IFERROR(IF(0=LEN(ReferenceData!$Y$21),"",ReferenceData!$Y$21),"")</f>
        <v>2.13918835</v>
      </c>
      <c r="Z21">
        <f ca="1">IFERROR(IF(0=LEN(ReferenceData!$Z$21),"",ReferenceData!$Z$21),"")</f>
        <v>3.9425981870000002</v>
      </c>
      <c r="AA21">
        <f ca="1">IFERROR(IF(0=LEN(ReferenceData!$AA$21),"",ReferenceData!$AA$21),"")</f>
        <v>2.117219446</v>
      </c>
      <c r="AB21">
        <f ca="1">IFERROR(IF(0=LEN(ReferenceData!$AB$21),"",ReferenceData!$AB$21),"")</f>
        <v>3.5118606379999999</v>
      </c>
      <c r="AC21">
        <f ca="1">IFERROR(IF(0=LEN(ReferenceData!$AC$21),"",ReferenceData!$AC$21),"")</f>
        <v>3.2764126060000001</v>
      </c>
      <c r="AD21">
        <f ca="1">IFERROR(IF(0=LEN(ReferenceData!$AD$21),"",ReferenceData!$AD$21),"")</f>
        <v>2.2259294569999999</v>
      </c>
      <c r="AE21">
        <f ca="1">IFERROR(IF(0=LEN(ReferenceData!$AE$21),"",ReferenceData!$AE$21),"")</f>
        <v>3.8557950870000002</v>
      </c>
      <c r="AF21">
        <f ca="1">IFERROR(IF(0=LEN(ReferenceData!$AF$21),"",ReferenceData!$AF$21),"")</f>
        <v>3.572588503</v>
      </c>
      <c r="AG21">
        <f ca="1">IFERROR(IF(0=LEN(ReferenceData!$AG$21),"",ReferenceData!$AG$21),"")</f>
        <v>4.2582292329999998</v>
      </c>
      <c r="AH21">
        <f ca="1">IFERROR(IF(0=LEN(ReferenceData!$AH$21),"",ReferenceData!$AH$21),"")</f>
        <v>4.2086167799999998</v>
      </c>
      <c r="AI21">
        <f ca="1">IFERROR(IF(0=LEN(ReferenceData!$AI$21),"",ReferenceData!$AI$21),"")</f>
        <v>4.7874044580000001</v>
      </c>
      <c r="AJ21">
        <f ca="1">IFERROR(IF(0=LEN(ReferenceData!$AJ$21),"",ReferenceData!$AJ$21),"")</f>
        <v>5.1630312570000001</v>
      </c>
      <c r="AK21">
        <f ca="1">IFERROR(IF(0=LEN(ReferenceData!$AK$21),"",ReferenceData!$AK$21),"")</f>
        <v>5.5178611550000003</v>
      </c>
      <c r="AL21">
        <f ca="1">IFERROR(IF(0=LEN(ReferenceData!$AL$21),"",ReferenceData!$AL$21),"")</f>
        <v>6.5656565660000004</v>
      </c>
      <c r="AM21">
        <f ca="1">IFERROR(IF(0=LEN(ReferenceData!$AM$21),"",ReferenceData!$AM$21),"")</f>
        <v>7.4659620210000002</v>
      </c>
      <c r="AN21">
        <f ca="1">IFERROR(IF(0=LEN(ReferenceData!$AN$21),"",ReferenceData!$AN$21),"")</f>
        <v>6.3802905870000002</v>
      </c>
      <c r="AO21">
        <f ca="1">IFERROR(IF(0=LEN(ReferenceData!$AO$21),"",ReferenceData!$AO$21),"")</f>
        <v>7.1998197790000003</v>
      </c>
      <c r="AP21">
        <f ca="1">IFERROR(IF(0=LEN(ReferenceData!$AP$21),"",ReferenceData!$AP$21),"")</f>
        <v>7.6901695539999997</v>
      </c>
      <c r="AQ21">
        <f ca="1">IFERROR(IF(0=LEN(ReferenceData!$AQ$21),"",ReferenceData!$AQ$21),"")</f>
        <v>7.2640000000000002</v>
      </c>
      <c r="AR21">
        <f ca="1">IFERROR(IF(0=LEN(ReferenceData!$AR$21),"",ReferenceData!$AR$21),"")</f>
        <v>7.9979360169999998</v>
      </c>
      <c r="AS21">
        <f ca="1">IFERROR(IF(0=LEN(ReferenceData!$AS$21),"",ReferenceData!$AS$21),"")</f>
        <v>7.2704201519999998</v>
      </c>
      <c r="AT21">
        <f ca="1">IFERROR(IF(0=LEN(ReferenceData!$AT$21),"",ReferenceData!$AT$21),"")</f>
        <v>7.0652427370000002</v>
      </c>
      <c r="AU21">
        <f ca="1">IFERROR(IF(0=LEN(ReferenceData!$AU$21),"",ReferenceData!$AU$21),"")</f>
        <v>7.6981096500000001</v>
      </c>
      <c r="AV21">
        <f ca="1">IFERROR(IF(0=LEN(ReferenceData!$AV$21),"",ReferenceData!$AV$21),"")</f>
        <v>8.1790562990000009</v>
      </c>
      <c r="AW21">
        <f ca="1">IFERROR(IF(0=LEN(ReferenceData!$AW$21),"",ReferenceData!$AW$21),"")</f>
        <v>7.3212121210000003</v>
      </c>
      <c r="AX21">
        <f ca="1">IFERROR(IF(0=LEN(ReferenceData!$AX$21),"",ReferenceData!$AX$21),"")</f>
        <v>7.5973868859999998</v>
      </c>
      <c r="AY21">
        <f ca="1">IFERROR(IF(0=LEN(ReferenceData!$AY$21),"",ReferenceData!$AY$21),"")</f>
        <v>7.8523293289999998</v>
      </c>
      <c r="AZ21">
        <f ca="1">IFERROR(IF(0=LEN(ReferenceData!$AZ$21),"",ReferenceData!$AZ$21),"")</f>
        <v>13.10693236</v>
      </c>
      <c r="BA21">
        <f ca="1">IFERROR(IF(0=LEN(ReferenceData!$BA$21),"",ReferenceData!$BA$21),"")</f>
        <v>13.142668990000001</v>
      </c>
      <c r="BB21">
        <f ca="1">IFERROR(IF(0=LEN(ReferenceData!$BB$21),"",ReferenceData!$BB$21),"")</f>
        <v>13.978494619999999</v>
      </c>
      <c r="BC21">
        <f ca="1">IFERROR(IF(0=LEN(ReferenceData!$BC$21),"",ReferenceData!$BC$21),"")</f>
        <v>13.2324518</v>
      </c>
      <c r="BD21">
        <f ca="1">IFERROR(IF(0=LEN(ReferenceData!$BD$21),"",ReferenceData!$BD$21),"")</f>
        <v>13.589177510000001</v>
      </c>
      <c r="BE21">
        <f ca="1">IFERROR(IF(0=LEN(ReferenceData!$BE$21),"",ReferenceData!$BE$21),"")</f>
        <v>13.26492882</v>
      </c>
      <c r="BF21">
        <f ca="1">IFERROR(IF(0=LEN(ReferenceData!$BF$21),"",ReferenceData!$BF$21),"")</f>
        <v>11.47294346</v>
      </c>
      <c r="BG21">
        <f ca="1">IFERROR(IF(0=LEN(ReferenceData!$BG$21),"",ReferenceData!$BG$21),"")</f>
        <v>9.3386998170000002</v>
      </c>
      <c r="BH21">
        <f ca="1">IFERROR(IF(0=LEN(ReferenceData!$BH$21),"",ReferenceData!$BH$21),"")</f>
        <v>7.9417247130000002</v>
      </c>
      <c r="BI21">
        <f ca="1">IFERROR(IF(0=LEN(ReferenceData!$BI$21),"",ReferenceData!$BI$21),"")</f>
        <v>9.9168675289999992</v>
      </c>
      <c r="BJ21">
        <f ca="1">IFERROR(IF(0=LEN(ReferenceData!$BJ$21),"",ReferenceData!$BJ$21),"")</f>
        <v>12.8268354</v>
      </c>
      <c r="BK21">
        <f ca="1">IFERROR(IF(0=LEN(ReferenceData!$BK$21),"",ReferenceData!$BK$21),"")</f>
        <v>11.971830990000001</v>
      </c>
      <c r="BL21">
        <f ca="1">IFERROR(IF(0=LEN(ReferenceData!$BL$21),"",ReferenceData!$BL$21),"")</f>
        <v>9.3998317290000006</v>
      </c>
      <c r="BM21" t="str">
        <f ca="1">IFERROR(IF(0=LEN(ReferenceData!$BM$21),"",ReferenceData!$BM$21),"")</f>
        <v/>
      </c>
    </row>
    <row r="22" spans="1:65">
      <c r="A22" t="str">
        <f>IFERROR(IF(0=LEN(ReferenceData!$A$22),"",ReferenceData!$A$22),"")</f>
        <v xml:space="preserve">    Western Alliance Bancorp</v>
      </c>
      <c r="B22" t="str">
        <f>IFERROR(IF(0=LEN(ReferenceData!$B$22),"",ReferenceData!$B$22),"")</f>
        <v>WAL US Equity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Expression</v>
      </c>
      <c r="F22" t="str">
        <f ca="1">IFERROR(IF(0=LEN(ReferenceData!$F$22),"",ReferenceData!$F$22),"")</f>
        <v/>
      </c>
      <c r="G22" t="str">
        <f ca="1">IFERROR(IF(0=LEN(ReferenceData!$G$22),"",ReferenceData!$G$22),"")</f>
        <v/>
      </c>
      <c r="H22" t="str">
        <f ca="1">IFERROR(IF(0=LEN(ReferenceData!$H$22),"",ReferenceData!$H$22),"")</f>
        <v/>
      </c>
      <c r="I22" t="str">
        <f ca="1">IFERROR(IF(0=LEN(ReferenceData!$I$22),"",ReferenceData!$I$22),"")</f>
        <v/>
      </c>
      <c r="J22" t="str">
        <f ca="1">IFERROR(IF(0=LEN(ReferenceData!$J$22),"",ReferenceData!$J$22),"")</f>
        <v/>
      </c>
      <c r="K22" t="str">
        <f ca="1">IFERROR(IF(0=LEN(ReferenceData!$K$22),"",ReferenceData!$K$22),"")</f>
        <v/>
      </c>
      <c r="L22" t="str">
        <f ca="1">IFERROR(IF(0=LEN(ReferenceData!$L$22),"",ReferenceData!$L$22),"")</f>
        <v/>
      </c>
      <c r="M22" t="str">
        <f ca="1">IFERROR(IF(0=LEN(ReferenceData!$M$22),"",ReferenceData!$M$22),"")</f>
        <v/>
      </c>
      <c r="N22" t="str">
        <f ca="1">IFERROR(IF(0=LEN(ReferenceData!$N$22),"",ReferenceData!$N$22),"")</f>
        <v/>
      </c>
      <c r="O22" t="str">
        <f ca="1">IFERROR(IF(0=LEN(ReferenceData!$O$22),"",ReferenceData!$O$22),"")</f>
        <v/>
      </c>
      <c r="P22" t="str">
        <f ca="1">IFERROR(IF(0=LEN(ReferenceData!$P$22),"",ReferenceData!$P$22),"")</f>
        <v/>
      </c>
      <c r="Q22" t="str">
        <f ca="1">IFERROR(IF(0=LEN(ReferenceData!$Q$22),"",ReferenceData!$Q$22),"")</f>
        <v/>
      </c>
      <c r="R22" t="str">
        <f ca="1">IFERROR(IF(0=LEN(ReferenceData!$R$22),"",ReferenceData!$R$22),"")</f>
        <v/>
      </c>
      <c r="S22" t="str">
        <f ca="1">IFERROR(IF(0=LEN(ReferenceData!$S$22),"",ReferenceData!$S$22),"")</f>
        <v/>
      </c>
      <c r="T22" t="str">
        <f ca="1">IFERROR(IF(0=LEN(ReferenceData!$T$22),"",ReferenceData!$T$22),"")</f>
        <v/>
      </c>
      <c r="U22" t="str">
        <f ca="1">IFERROR(IF(0=LEN(ReferenceData!$U$22),"",ReferenceData!$U$22),"")</f>
        <v/>
      </c>
      <c r="V22" t="str">
        <f ca="1">IFERROR(IF(0=LEN(ReferenceData!$V$22),"",ReferenceData!$V$22),"")</f>
        <v/>
      </c>
      <c r="W22" t="str">
        <f ca="1">IFERROR(IF(0=LEN(ReferenceData!$W$22),"",ReferenceData!$W$22),"")</f>
        <v/>
      </c>
      <c r="X22" t="str">
        <f ca="1">IFERROR(IF(0=LEN(ReferenceData!$X$22),"",ReferenceData!$X$22),"")</f>
        <v/>
      </c>
      <c r="Y22" t="str">
        <f ca="1">IFERROR(IF(0=LEN(ReferenceData!$Y$22),"",ReferenceData!$Y$22),"")</f>
        <v/>
      </c>
      <c r="Z22" t="str">
        <f ca="1">IFERROR(IF(0=LEN(ReferenceData!$Z$22),"",ReferenceData!$Z$22),"")</f>
        <v/>
      </c>
      <c r="AA22" t="str">
        <f ca="1">IFERROR(IF(0=LEN(ReferenceData!$AA$22),"",ReferenceData!$AA$22),"")</f>
        <v/>
      </c>
      <c r="AB22" t="str">
        <f ca="1">IFERROR(IF(0=LEN(ReferenceData!$AB$22),"",ReferenceData!$AB$22),"")</f>
        <v/>
      </c>
      <c r="AC22" t="str">
        <f ca="1">IFERROR(IF(0=LEN(ReferenceData!$AC$22),"",ReferenceData!$AC$22),"")</f>
        <v/>
      </c>
      <c r="AD22" t="str">
        <f ca="1">IFERROR(IF(0=LEN(ReferenceData!$AD$22),"",ReferenceData!$AD$22),"")</f>
        <v/>
      </c>
      <c r="AE22" t="str">
        <f ca="1">IFERROR(IF(0=LEN(ReferenceData!$AE$22),"",ReferenceData!$AE$22),"")</f>
        <v/>
      </c>
      <c r="AF22" t="str">
        <f ca="1">IFERROR(IF(0=LEN(ReferenceData!$AF$22),"",ReferenceData!$AF$22),"")</f>
        <v/>
      </c>
      <c r="AG22" t="str">
        <f ca="1">IFERROR(IF(0=LEN(ReferenceData!$AG$22),"",ReferenceData!$AG$22),"")</f>
        <v/>
      </c>
      <c r="AH22" t="str">
        <f ca="1">IFERROR(IF(0=LEN(ReferenceData!$AH$22),"",ReferenceData!$AH$22),"")</f>
        <v/>
      </c>
      <c r="AI22" t="str">
        <f ca="1">IFERROR(IF(0=LEN(ReferenceData!$AI$22),"",ReferenceData!$AI$22),"")</f>
        <v/>
      </c>
      <c r="AJ22" t="str">
        <f ca="1">IFERROR(IF(0=LEN(ReferenceData!$AJ$22),"",ReferenceData!$AJ$22),"")</f>
        <v/>
      </c>
      <c r="AK22" t="str">
        <f ca="1">IFERROR(IF(0=LEN(ReferenceData!$AK$22),"",ReferenceData!$AK$22),"")</f>
        <v/>
      </c>
      <c r="AL22" t="str">
        <f ca="1">IFERROR(IF(0=LEN(ReferenceData!$AL$22),"",ReferenceData!$AL$22),"")</f>
        <v/>
      </c>
      <c r="AM22" t="str">
        <f ca="1">IFERROR(IF(0=LEN(ReferenceData!$AM$22),"",ReferenceData!$AM$22),"")</f>
        <v/>
      </c>
      <c r="AN22" t="str">
        <f ca="1">IFERROR(IF(0=LEN(ReferenceData!$AN$22),"",ReferenceData!$AN$22),"")</f>
        <v/>
      </c>
      <c r="AO22" t="str">
        <f ca="1">IFERROR(IF(0=LEN(ReferenceData!$AO$22),"",ReferenceData!$AO$22),"")</f>
        <v/>
      </c>
      <c r="AP22" t="str">
        <f ca="1">IFERROR(IF(0=LEN(ReferenceData!$AP$22),"",ReferenceData!$AP$22),"")</f>
        <v/>
      </c>
      <c r="AQ22" t="str">
        <f ca="1">IFERROR(IF(0=LEN(ReferenceData!$AQ$22),"",ReferenceData!$AQ$22),"")</f>
        <v/>
      </c>
      <c r="AR22" t="str">
        <f ca="1">IFERROR(IF(0=LEN(ReferenceData!$AR$22),"",ReferenceData!$AR$22),"")</f>
        <v/>
      </c>
      <c r="AS22" t="str">
        <f ca="1">IFERROR(IF(0=LEN(ReferenceData!$AS$22),"",ReferenceData!$AS$22),"")</f>
        <v/>
      </c>
      <c r="AT22" t="str">
        <f ca="1">IFERROR(IF(0=LEN(ReferenceData!$AT$22),"",ReferenceData!$AT$22),"")</f>
        <v/>
      </c>
      <c r="AU22" t="str">
        <f ca="1">IFERROR(IF(0=LEN(ReferenceData!$AU$22),"",ReferenceData!$AU$22),"")</f>
        <v/>
      </c>
      <c r="AV22" t="str">
        <f ca="1">IFERROR(IF(0=LEN(ReferenceData!$AV$22),"",ReferenceData!$AV$22),"")</f>
        <v/>
      </c>
      <c r="AW22" t="str">
        <f ca="1">IFERROR(IF(0=LEN(ReferenceData!$AW$22),"",ReferenceData!$AW$22),"")</f>
        <v/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>
      <c r="A23" t="str">
        <f>IFERROR(IF(0=LEN(ReferenceData!$A$23),"",ReferenceData!$A$23),"")</f>
        <v xml:space="preserve">    Zions Bancorp NA</v>
      </c>
      <c r="B23" t="str">
        <f>IFERROR(IF(0=LEN(ReferenceData!$B$23),"",ReferenceData!$B$23),"")</f>
        <v>ZION US Equity</v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Expression</v>
      </c>
      <c r="F23" t="str">
        <f ca="1">IFERROR(IF(0=LEN(ReferenceData!$F$23),"",ReferenceData!$F$23),"")</f>
        <v/>
      </c>
      <c r="G23" t="str">
        <f ca="1">IFERROR(IF(0=LEN(ReferenceData!$G$23),"",ReferenceData!$G$23),"")</f>
        <v/>
      </c>
      <c r="H23" t="str">
        <f ca="1">IFERROR(IF(0=LEN(ReferenceData!$H$23),"",ReferenceData!$H$23),"")</f>
        <v/>
      </c>
      <c r="I23" t="str">
        <f ca="1">IFERROR(IF(0=LEN(ReferenceData!$I$23),"",ReferenceData!$I$23),"")</f>
        <v/>
      </c>
      <c r="J23" t="str">
        <f ca="1">IFERROR(IF(0=LEN(ReferenceData!$J$23),"",ReferenceData!$J$23),"")</f>
        <v/>
      </c>
      <c r="K23" t="str">
        <f ca="1">IFERROR(IF(0=LEN(ReferenceData!$K$23),"",ReferenceData!$K$23),"")</f>
        <v/>
      </c>
      <c r="L23" t="str">
        <f ca="1">IFERROR(IF(0=LEN(ReferenceData!$L$23),"",ReferenceData!$L$23),"")</f>
        <v/>
      </c>
      <c r="M23" t="str">
        <f ca="1">IFERROR(IF(0=LEN(ReferenceData!$M$23),"",ReferenceData!$M$23),"")</f>
        <v/>
      </c>
      <c r="N23" t="str">
        <f ca="1">IFERROR(IF(0=LEN(ReferenceData!$N$23),"",ReferenceData!$N$23),"")</f>
        <v/>
      </c>
      <c r="O23" t="str">
        <f ca="1">IFERROR(IF(0=LEN(ReferenceData!$O$23),"",ReferenceData!$O$23),"")</f>
        <v/>
      </c>
      <c r="P23" t="str">
        <f ca="1">IFERROR(IF(0=LEN(ReferenceData!$P$23),"",ReferenceData!$P$23),"")</f>
        <v/>
      </c>
      <c r="Q23" t="str">
        <f ca="1">IFERROR(IF(0=LEN(ReferenceData!$Q$23),"",ReferenceData!$Q$23),"")</f>
        <v/>
      </c>
      <c r="R23" t="str">
        <f ca="1">IFERROR(IF(0=LEN(ReferenceData!$R$23),"",ReferenceData!$R$23),"")</f>
        <v/>
      </c>
      <c r="S23" t="str">
        <f ca="1">IFERROR(IF(0=LEN(ReferenceData!$S$23),"",ReferenceData!$S$23),"")</f>
        <v/>
      </c>
      <c r="T23" t="str">
        <f ca="1">IFERROR(IF(0=LEN(ReferenceData!$T$23),"",ReferenceData!$T$23),"")</f>
        <v/>
      </c>
      <c r="U23" t="str">
        <f ca="1">IFERROR(IF(0=LEN(ReferenceData!$U$23),"",ReferenceData!$U$23),"")</f>
        <v/>
      </c>
      <c r="V23" t="str">
        <f ca="1">IFERROR(IF(0=LEN(ReferenceData!$V$23),"",ReferenceData!$V$23),"")</f>
        <v/>
      </c>
      <c r="W23" t="str">
        <f ca="1">IFERROR(IF(0=LEN(ReferenceData!$W$23),"",ReferenceData!$W$23),"")</f>
        <v/>
      </c>
      <c r="X23" t="str">
        <f ca="1">IFERROR(IF(0=LEN(ReferenceData!$X$23),"",ReferenceData!$X$23),"")</f>
        <v/>
      </c>
      <c r="Y23" t="str">
        <f ca="1">IFERROR(IF(0=LEN(ReferenceData!$Y$23),"",ReferenceData!$Y$23),"")</f>
        <v/>
      </c>
      <c r="Z23" t="str">
        <f ca="1">IFERROR(IF(0=LEN(ReferenceData!$Z$23),"",ReferenceData!$Z$23),"")</f>
        <v/>
      </c>
      <c r="AA23" t="str">
        <f ca="1">IFERROR(IF(0=LEN(ReferenceData!$AA$23),"",ReferenceData!$AA$23),"")</f>
        <v/>
      </c>
      <c r="AB23" t="str">
        <f ca="1">IFERROR(IF(0=LEN(ReferenceData!$AB$23),"",ReferenceData!$AB$23),"")</f>
        <v/>
      </c>
      <c r="AC23" t="str">
        <f ca="1">IFERROR(IF(0=LEN(ReferenceData!$AC$23),"",ReferenceData!$AC$23),"")</f>
        <v/>
      </c>
      <c r="AD23" t="str">
        <f ca="1">IFERROR(IF(0=LEN(ReferenceData!$AD$23),"",ReferenceData!$AD$23),"")</f>
        <v/>
      </c>
      <c r="AE23" t="str">
        <f ca="1">IFERROR(IF(0=LEN(ReferenceData!$AE$23),"",ReferenceData!$AE$23),"")</f>
        <v/>
      </c>
      <c r="AF23" t="str">
        <f ca="1">IFERROR(IF(0=LEN(ReferenceData!$AF$23),"",ReferenceData!$AF$23),"")</f>
        <v/>
      </c>
      <c r="AG23" t="str">
        <f ca="1">IFERROR(IF(0=LEN(ReferenceData!$AG$23),"",ReferenceData!$AG$23),"")</f>
        <v/>
      </c>
      <c r="AH23" t="str">
        <f ca="1">IFERROR(IF(0=LEN(ReferenceData!$AH$23),"",ReferenceData!$AH$23),"")</f>
        <v/>
      </c>
      <c r="AI23" t="str">
        <f ca="1">IFERROR(IF(0=LEN(ReferenceData!$AI$23),"",ReferenceData!$AI$23),"")</f>
        <v/>
      </c>
      <c r="AJ23" t="str">
        <f ca="1">IFERROR(IF(0=LEN(ReferenceData!$AJ$23),"",ReferenceData!$AJ$23),"")</f>
        <v/>
      </c>
      <c r="AK23" t="str">
        <f ca="1">IFERROR(IF(0=LEN(ReferenceData!$AK$23),"",ReferenceData!$AK$23),"")</f>
        <v/>
      </c>
      <c r="AL23" t="str">
        <f ca="1">IFERROR(IF(0=LEN(ReferenceData!$AL$23),"",ReferenceData!$AL$23),"")</f>
        <v/>
      </c>
      <c r="AM23" t="str">
        <f ca="1">IFERROR(IF(0=LEN(ReferenceData!$AM$23),"",ReferenceData!$AM$23),"")</f>
        <v/>
      </c>
      <c r="AN23" t="str">
        <f ca="1">IFERROR(IF(0=LEN(ReferenceData!$AN$23),"",ReferenceData!$AN$23),"")</f>
        <v/>
      </c>
      <c r="AO23" t="str">
        <f ca="1">IFERROR(IF(0=LEN(ReferenceData!$AO$23),"",ReferenceData!$AO$23),"")</f>
        <v/>
      </c>
      <c r="AP23" t="str">
        <f ca="1">IFERROR(IF(0=LEN(ReferenceData!$AP$23),"",ReferenceData!$AP$23),"")</f>
        <v/>
      </c>
      <c r="AQ23" t="str">
        <f ca="1">IFERROR(IF(0=LEN(ReferenceData!$AQ$23),"",ReferenceData!$AQ$23),"")</f>
        <v/>
      </c>
      <c r="AR23" t="str">
        <f ca="1">IFERROR(IF(0=LEN(ReferenceData!$AR$23),"",ReferenceData!$AR$23),"")</f>
        <v/>
      </c>
      <c r="AS23" t="str">
        <f ca="1">IFERROR(IF(0=LEN(ReferenceData!$AS$23),"",ReferenceData!$AS$23),"")</f>
        <v/>
      </c>
      <c r="AT23" t="str">
        <f ca="1">IFERROR(IF(0=LEN(ReferenceData!$AT$23),"",ReferenceData!$AT$23),"")</f>
        <v/>
      </c>
      <c r="AU23" t="str">
        <f ca="1">IFERROR(IF(0=LEN(ReferenceData!$AU$23),"",ReferenceData!$AU$23),"")</f>
        <v/>
      </c>
      <c r="AV23" t="str">
        <f ca="1">IFERROR(IF(0=LEN(ReferenceData!$AV$23),"",ReferenceData!$AV$23),"")</f>
        <v/>
      </c>
      <c r="AW23" t="str">
        <f ca="1">IFERROR(IF(0=LEN(ReferenceData!$AW$23),"",ReferenceData!$AW$23),"")</f>
        <v/>
      </c>
      <c r="AX23" t="str">
        <f ca="1">IFERROR(IF(0=LEN(ReferenceData!$AX$23),"",ReferenceData!$AX$23),"")</f>
        <v/>
      </c>
      <c r="AY23" t="str">
        <f ca="1">IFERROR(IF(0=LEN(ReferenceData!$AY$23),"",ReferenceData!$AY$23),"")</f>
        <v/>
      </c>
      <c r="AZ23" t="str">
        <f ca="1">IFERROR(IF(0=LEN(ReferenceData!$AZ$23),"",ReferenceData!$AZ$23),"")</f>
        <v/>
      </c>
      <c r="BA23" t="str">
        <f ca="1">IFERROR(IF(0=LEN(ReferenceData!$BA$23),"",ReferenceData!$BA$23),"")</f>
        <v/>
      </c>
      <c r="BB23" t="str">
        <f ca="1">IFERROR(IF(0=LEN(ReferenceData!$BB$23),"",ReferenceData!$BB$23),"")</f>
        <v/>
      </c>
      <c r="BC23" t="str">
        <f ca="1">IFERROR(IF(0=LEN(ReferenceData!$BC$23),"",ReferenceData!$BC$23),"")</f>
        <v/>
      </c>
      <c r="BD23" t="str">
        <f ca="1">IFERROR(IF(0=LEN(ReferenceData!$BD$23),"",ReferenceData!$BD$23),"")</f>
        <v/>
      </c>
      <c r="BE23" t="str">
        <f ca="1">IFERROR(IF(0=LEN(ReferenceData!$BE$23),"",ReferenceData!$BE$23),"")</f>
        <v/>
      </c>
      <c r="BF23" t="str">
        <f ca="1">IFERROR(IF(0=LEN(ReferenceData!$BF$23),"",ReferenceData!$BF$23),"")</f>
        <v/>
      </c>
      <c r="BG23" t="str">
        <f ca="1">IFERROR(IF(0=LEN(ReferenceData!$BG$23),"",ReferenceData!$BG$23),"")</f>
        <v/>
      </c>
      <c r="BH23" t="str">
        <f ca="1">IFERROR(IF(0=LEN(ReferenceData!$BH$23),"",ReferenceData!$BH$23),"")</f>
        <v/>
      </c>
      <c r="BI23" t="str">
        <f ca="1">IFERROR(IF(0=LEN(ReferenceData!$BI$23),"",ReferenceData!$BI$23),"")</f>
        <v/>
      </c>
      <c r="BJ23" t="str">
        <f ca="1">IFERROR(IF(0=LEN(ReferenceData!$BJ$23),"",ReferenceData!$BJ$23),"")</f>
        <v/>
      </c>
      <c r="BK23" t="str">
        <f ca="1">IFERROR(IF(0=LEN(ReferenceData!$BK$23),"",ReferenceData!$BK$23),"")</f>
        <v/>
      </c>
      <c r="BL23" t="str">
        <f ca="1">IFERROR(IF(0=LEN(ReferenceData!$BL$23),"",ReferenceData!$BL$23),"")</f>
        <v/>
      </c>
      <c r="BM23" t="str">
        <f ca="1">IFERROR(IF(0=LEN(ReferenceData!$BM$23),"",ReferenceData!$BM$23),"")</f>
        <v/>
      </c>
    </row>
    <row r="24" spans="1:65">
      <c r="A24" s="2" t="str">
        <f>IFERROR(IF(0=LEN(ReferenceData!$A$24),"",ReferenceData!$A$24),"")</f>
        <v>Mortgage Banking Revenue</v>
      </c>
      <c r="B24" t="str">
        <f>IFERROR(IF(0=LEN(ReferenceData!$B$24),"",ReferenceData!$B$24),"")</f>
        <v/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Sum</v>
      </c>
      <c r="F24">
        <f ca="1">IFERROR(IF(0=LEN(ReferenceData!$F$24),"",ReferenceData!$F$24),"")</f>
        <v>1341</v>
      </c>
      <c r="G24">
        <f ca="1">IFERROR(IF(0=LEN(ReferenceData!$G$24),"",ReferenceData!$G$24),"")</f>
        <v>1449</v>
      </c>
      <c r="H24">
        <f ca="1">IFERROR(IF(0=LEN(ReferenceData!$H$24),"",ReferenceData!$H$24),"")</f>
        <v>1333</v>
      </c>
      <c r="I24">
        <f ca="1">IFERROR(IF(0=LEN(ReferenceData!$I$24),"",ReferenceData!$I$24),"")</f>
        <v>1229</v>
      </c>
      <c r="J24">
        <f ca="1">IFERROR(IF(0=LEN(ReferenceData!$J$24),"",ReferenceData!$J$24),"")</f>
        <v>1145</v>
      </c>
      <c r="K24">
        <f ca="1">IFERROR(IF(0=LEN(ReferenceData!$K$24),"",ReferenceData!$K$24),"")</f>
        <v>1377.4780000000001</v>
      </c>
      <c r="L24">
        <f ca="1">IFERROR(IF(0=LEN(ReferenceData!$L$24),"",ReferenceData!$L$24),"")</f>
        <v>1131.1120000000001</v>
      </c>
      <c r="M24">
        <f ca="1">IFERROR(IF(0=LEN(ReferenceData!$M$24),"",ReferenceData!$M$24),"")</f>
        <v>1193.9850000000001</v>
      </c>
      <c r="N24">
        <f ca="1">IFERROR(IF(0=LEN(ReferenceData!$N$24),"",ReferenceData!$N$24),"")</f>
        <v>844.52099999999996</v>
      </c>
      <c r="O24">
        <f ca="1">IFERROR(IF(0=LEN(ReferenceData!$O$24),"",ReferenceData!$O$24),"")</f>
        <v>1279.0409999999999</v>
      </c>
      <c r="P24">
        <f ca="1">IFERROR(IF(0=LEN(ReferenceData!$P$24),"",ReferenceData!$P$24),"")</f>
        <v>1332.9259999999999</v>
      </c>
      <c r="Q24">
        <f ca="1">IFERROR(IF(0=LEN(ReferenceData!$Q$24),"",ReferenceData!$Q$24),"")</f>
        <v>1949.1480000000001</v>
      </c>
      <c r="R24">
        <f ca="1">IFERROR(IF(0=LEN(ReferenceData!$R$24),"",ReferenceData!$R$24),"")</f>
        <v>2401.2669999999998</v>
      </c>
      <c r="S24">
        <f ca="1">IFERROR(IF(0=LEN(ReferenceData!$S$24),"",ReferenceData!$S$24),"")</f>
        <v>3221.9949999999999</v>
      </c>
      <c r="T24">
        <f ca="1">IFERROR(IF(0=LEN(ReferenceData!$T$24),"",ReferenceData!$T$24),"")</f>
        <v>2984.3130000000001</v>
      </c>
      <c r="U24">
        <f ca="1">IFERROR(IF(0=LEN(ReferenceData!$U$24),"",ReferenceData!$U$24),"")</f>
        <v>3241.7539999999999</v>
      </c>
      <c r="V24">
        <f ca="1">IFERROR(IF(0=LEN(ReferenceData!$V$24),"",ReferenceData!$V$24),"")</f>
        <v>3083.4409999999998</v>
      </c>
      <c r="W24">
        <f ca="1">IFERROR(IF(0=LEN(ReferenceData!$W$24),"",ReferenceData!$W$24),"")</f>
        <v>4385.2669999999998</v>
      </c>
      <c r="X24">
        <f ca="1">IFERROR(IF(0=LEN(ReferenceData!$X$24),"",ReferenceData!$X$24),"")</f>
        <v>3141.0239999999999</v>
      </c>
      <c r="Y24">
        <f ca="1">IFERROR(IF(0=LEN(ReferenceData!$Y$24),"",ReferenceData!$Y$24),"")</f>
        <v>2101.9090000000001</v>
      </c>
      <c r="Z24">
        <f ca="1">IFERROR(IF(0=LEN(ReferenceData!$Z$24),"",ReferenceData!$Z$24),"")</f>
        <v>1578.134</v>
      </c>
      <c r="AA24">
        <f ca="1">IFERROR(IF(0=LEN(ReferenceData!$AA$24),"",ReferenceData!$AA$24),"")</f>
        <v>2314.0039999999999</v>
      </c>
      <c r="AB24">
        <f ca="1">IFERROR(IF(0=LEN(ReferenceData!$AB$24),"",ReferenceData!$AB$24),"")</f>
        <v>1711.3209999999999</v>
      </c>
      <c r="AC24">
        <f ca="1">IFERROR(IF(0=LEN(ReferenceData!$AC$24),"",ReferenceData!$AC$24),"")</f>
        <v>1637.3110000000001</v>
      </c>
      <c r="AD24">
        <f ca="1">IFERROR(IF(0=LEN(ReferenceData!$AD$24),"",ReferenceData!$AD$24),"")</f>
        <v>1208.229</v>
      </c>
      <c r="AE24">
        <f ca="1">IFERROR(IF(0=LEN(ReferenceData!$AE$24),"",ReferenceData!$AE$24),"")</f>
        <v>1695.4079999999999</v>
      </c>
      <c r="AF24">
        <f ca="1">IFERROR(IF(0=LEN(ReferenceData!$AF$24),"",ReferenceData!$AF$24),"")</f>
        <v>1707.499</v>
      </c>
      <c r="AG24">
        <f ca="1">IFERROR(IF(0=LEN(ReferenceData!$AG$24),"",ReferenceData!$AG$24),"")</f>
        <v>2018.306</v>
      </c>
      <c r="AH24">
        <f ca="1">IFERROR(IF(0=LEN(ReferenceData!$AH$24),"",ReferenceData!$AH$24),"")</f>
        <v>1866.2350000000001</v>
      </c>
      <c r="AI24">
        <f ca="1">IFERROR(IF(0=LEN(ReferenceData!$AI$24),"",ReferenceData!$AI$24),"")</f>
        <v>2167.223</v>
      </c>
      <c r="AJ24">
        <f ca="1">IFERROR(IF(0=LEN(ReferenceData!$AJ$24),"",ReferenceData!$AJ$24),"")</f>
        <v>2219.3589999999999</v>
      </c>
      <c r="AK24">
        <f ca="1">IFERROR(IF(0=LEN(ReferenceData!$AK$24),"",ReferenceData!$AK$24),"")</f>
        <v>2427.4560000000001</v>
      </c>
      <c r="AL24">
        <f ca="1">IFERROR(IF(0=LEN(ReferenceData!$AL$24),"",ReferenceData!$AL$24),"")</f>
        <v>3225.2849999999999</v>
      </c>
      <c r="AM24">
        <f ca="1">IFERROR(IF(0=LEN(ReferenceData!$AM$24),"",ReferenceData!$AM$24),"")</f>
        <v>3816.2749999999996</v>
      </c>
      <c r="AN24">
        <f ca="1">IFERROR(IF(0=LEN(ReferenceData!$AN$24),"",ReferenceData!$AN$24),"")</f>
        <v>3205.931</v>
      </c>
      <c r="AO24">
        <f ca="1">IFERROR(IF(0=LEN(ReferenceData!$AO$24),"",ReferenceData!$AO$24),"")</f>
        <v>3316.7440000000001</v>
      </c>
      <c r="AP24">
        <f ca="1">IFERROR(IF(0=LEN(ReferenceData!$AP$24),"",ReferenceData!$AP$24),"")</f>
        <v>3170.183</v>
      </c>
      <c r="AQ24">
        <f ca="1">IFERROR(IF(0=LEN(ReferenceData!$AQ$24),"",ReferenceData!$AQ$24),"")</f>
        <v>3166.4650000000001</v>
      </c>
      <c r="AR24">
        <f ca="1">IFERROR(IF(0=LEN(ReferenceData!$AR$24),"",ReferenceData!$AR$24),"")</f>
        <v>4368.0879999999997</v>
      </c>
      <c r="AS24">
        <f ca="1">IFERROR(IF(0=LEN(ReferenceData!$AS$24),"",ReferenceData!$AS$24),"")</f>
        <v>3764.9679999999998</v>
      </c>
      <c r="AT24">
        <f ca="1">IFERROR(IF(0=LEN(ReferenceData!$AT$24),"",ReferenceData!$AT$24),"")</f>
        <v>3451.1509999999998</v>
      </c>
      <c r="AU24">
        <f ca="1">IFERROR(IF(0=LEN(ReferenceData!$AU$24),"",ReferenceData!$AU$24),"")</f>
        <v>3574.1889999999999</v>
      </c>
      <c r="AV24">
        <f ca="1">IFERROR(IF(0=LEN(ReferenceData!$AV$24),"",ReferenceData!$AV$24),"")</f>
        <v>4357.6639999999998</v>
      </c>
      <c r="AW24">
        <f ca="1">IFERROR(IF(0=LEN(ReferenceData!$AW$24),"",ReferenceData!$AW$24),"")</f>
        <v>3195.748</v>
      </c>
      <c r="AX24">
        <f ca="1">IFERROR(IF(0=LEN(ReferenceData!$AX$24),"",ReferenceData!$AX$24),"")</f>
        <v>4420.2489999999998</v>
      </c>
      <c r="AY24">
        <f ca="1">IFERROR(IF(0=LEN(ReferenceData!$AY$24),"",ReferenceData!$AY$24),"")</f>
        <v>3978.5569999999998</v>
      </c>
      <c r="AZ24">
        <f ca="1">IFERROR(IF(0=LEN(ReferenceData!$AZ$24),"",ReferenceData!$AZ$24),"")</f>
        <v>6990.1370000000006</v>
      </c>
      <c r="BA24">
        <f ca="1">IFERROR(IF(0=LEN(ReferenceData!$BA$24),"",ReferenceData!$BA$24),"")</f>
        <v>6833.46</v>
      </c>
      <c r="BB24">
        <f ca="1">IFERROR(IF(0=LEN(ReferenceData!$BB$24),"",ReferenceData!$BB$24),"")</f>
        <v>5839.8310000000001</v>
      </c>
      <c r="BC24">
        <f ca="1">IFERROR(IF(0=LEN(ReferenceData!$BC$24),"",ReferenceData!$BC$24),"")</f>
        <v>8681.0069999999996</v>
      </c>
      <c r="BD24">
        <f ca="1">IFERROR(IF(0=LEN(ReferenceData!$BD$24),"",ReferenceData!$BD$24),"")</f>
        <v>7764.1860000000006</v>
      </c>
      <c r="BE24">
        <f ca="1">IFERROR(IF(0=LEN(ReferenceData!$BE$24),"",ReferenceData!$BE$24),"")</f>
        <v>7817.7749999999996</v>
      </c>
      <c r="BF24">
        <f ca="1">IFERROR(IF(0=LEN(ReferenceData!$BF$24),"",ReferenceData!$BF$24),"")</f>
        <v>6105.3590000000004</v>
      </c>
      <c r="BG24">
        <f ca="1">IFERROR(IF(0=LEN(ReferenceData!$BG$24),"",ReferenceData!$BG$24),"")</f>
        <v>5717.2060000000001</v>
      </c>
      <c r="BH24">
        <f ca="1">IFERROR(IF(0=LEN(ReferenceData!$BH$24),"",ReferenceData!$BH$24),"")</f>
        <v>-9699.2400000000016</v>
      </c>
      <c r="BI24">
        <f ca="1">IFERROR(IF(0=LEN(ReferenceData!$BI$24),"",ReferenceData!$BI$24),"")</f>
        <v>2882.7780000000002</v>
      </c>
      <c r="BJ24">
        <f ca="1">IFERROR(IF(0=LEN(ReferenceData!$BJ$24),"",ReferenceData!$BJ$24),"")</f>
        <v>3828.5680000000002</v>
      </c>
      <c r="BK24">
        <f ca="1">IFERROR(IF(0=LEN(ReferenceData!$BK$24),"",ReferenceData!$BK$24),"")</f>
        <v>6158.5619999999999</v>
      </c>
      <c r="BL24">
        <f ca="1">IFERROR(IF(0=LEN(ReferenceData!$BL$24),"",ReferenceData!$BL$24),"")</f>
        <v>4638.1130000000003</v>
      </c>
      <c r="BM24">
        <f ca="1">IFERROR(IF(0=LEN(ReferenceData!$BM$24),"",ReferenceData!$BM$24),"")</f>
        <v>872</v>
      </c>
    </row>
    <row r="25" spans="1:65">
      <c r="A25" t="str">
        <f>IFERROR(IF(0=LEN(ReferenceData!$A$25),"",ReferenceData!$A$25),"")</f>
        <v xml:space="preserve">    Bank of America Corp</v>
      </c>
      <c r="B25" t="str">
        <f>IFERROR(IF(0=LEN(ReferenceData!$B$25),"",ReferenceData!$B$25),"")</f>
        <v>BAC US Equity</v>
      </c>
      <c r="C25" t="str">
        <f>IFERROR(IF(0=LEN(ReferenceData!$C$25),"",ReferenceData!$C$25),"")</f>
        <v>A0621</v>
      </c>
      <c r="D25" t="str">
        <f>IFERROR(IF(0=LEN(ReferenceData!$D$25),"",ReferenceData!$D$25),"")</f>
        <v>ARD_MORTGAGE_BANKING_REVENUE</v>
      </c>
      <c r="E25" t="str">
        <f>IFERROR(IF(0=LEN(ReferenceData!$E$25),"",ReferenceData!$E$25),"")</f>
        <v>Dynamic</v>
      </c>
      <c r="F25" t="str">
        <f ca="1">IFERROR(IF(0=LEN(ReferenceData!$F$25),"",ReferenceData!$F$25),"")</f>
        <v/>
      </c>
      <c r="G25" t="str">
        <f ca="1">IFERROR(IF(0=LEN(ReferenceData!$G$25),"",ReferenceData!$G$25),"")</f>
        <v/>
      </c>
      <c r="H25" t="str">
        <f ca="1">IFERROR(IF(0=LEN(ReferenceData!$H$25),"",ReferenceData!$H$25),"")</f>
        <v/>
      </c>
      <c r="I25" t="str">
        <f ca="1">IFERROR(IF(0=LEN(ReferenceData!$I$25),"",ReferenceData!$I$25),"")</f>
        <v/>
      </c>
      <c r="J25" t="str">
        <f ca="1">IFERROR(IF(0=LEN(ReferenceData!$J$25),"",ReferenceData!$J$25),"")</f>
        <v/>
      </c>
      <c r="K25" t="str">
        <f ca="1">IFERROR(IF(0=LEN(ReferenceData!$K$25),"",ReferenceData!$K$25),"")</f>
        <v/>
      </c>
      <c r="L25" t="str">
        <f ca="1">IFERROR(IF(0=LEN(ReferenceData!$L$25),"",ReferenceData!$L$25),"")</f>
        <v/>
      </c>
      <c r="M25" t="str">
        <f ca="1">IFERROR(IF(0=LEN(ReferenceData!$M$25),"",ReferenceData!$M$25),"")</f>
        <v/>
      </c>
      <c r="N25" t="str">
        <f ca="1">IFERROR(IF(0=LEN(ReferenceData!$N$25),"",ReferenceData!$N$25),"")</f>
        <v/>
      </c>
      <c r="O25" t="str">
        <f ca="1">IFERROR(IF(0=LEN(ReferenceData!$O$25),"",ReferenceData!$O$25),"")</f>
        <v/>
      </c>
      <c r="P25" t="str">
        <f ca="1">IFERROR(IF(0=LEN(ReferenceData!$P$25),"",ReferenceData!$P$25),"")</f>
        <v/>
      </c>
      <c r="Q25" t="str">
        <f ca="1">IFERROR(IF(0=LEN(ReferenceData!$Q$25),"",ReferenceData!$Q$25),"")</f>
        <v/>
      </c>
      <c r="R25" t="str">
        <f ca="1">IFERROR(IF(0=LEN(ReferenceData!$R$25),"",ReferenceData!$R$25),"")</f>
        <v/>
      </c>
      <c r="S25" t="str">
        <f ca="1">IFERROR(IF(0=LEN(ReferenceData!$S$25),"",ReferenceData!$S$25),"")</f>
        <v/>
      </c>
      <c r="T25" t="str">
        <f ca="1">IFERROR(IF(0=LEN(ReferenceData!$T$25),"",ReferenceData!$T$25),"")</f>
        <v/>
      </c>
      <c r="U25" t="str">
        <f ca="1">IFERROR(IF(0=LEN(ReferenceData!$U$25),"",ReferenceData!$U$25),"")</f>
        <v/>
      </c>
      <c r="V25" t="str">
        <f ca="1">IFERROR(IF(0=LEN(ReferenceData!$V$25),"",ReferenceData!$V$25),"")</f>
        <v/>
      </c>
      <c r="W25" t="str">
        <f ca="1">IFERROR(IF(0=LEN(ReferenceData!$W$25),"",ReferenceData!$W$25),"")</f>
        <v/>
      </c>
      <c r="X25" t="str">
        <f ca="1">IFERROR(IF(0=LEN(ReferenceData!$X$25),"",ReferenceData!$X$25),"")</f>
        <v/>
      </c>
      <c r="Y25" t="str">
        <f ca="1">IFERROR(IF(0=LEN(ReferenceData!$Y$25),"",ReferenceData!$Y$25),"")</f>
        <v/>
      </c>
      <c r="Z25" t="str">
        <f ca="1">IFERROR(IF(0=LEN(ReferenceData!$Z$25),"",ReferenceData!$Z$25),"")</f>
        <v/>
      </c>
      <c r="AA25" t="str">
        <f ca="1">IFERROR(IF(0=LEN(ReferenceData!$AA$25),"",ReferenceData!$AA$25),"")</f>
        <v/>
      </c>
      <c r="AB25" t="str">
        <f ca="1">IFERROR(IF(0=LEN(ReferenceData!$AB$25),"",ReferenceData!$AB$25),"")</f>
        <v/>
      </c>
      <c r="AC25" t="str">
        <f ca="1">IFERROR(IF(0=LEN(ReferenceData!$AC$25),"",ReferenceData!$AC$25),"")</f>
        <v/>
      </c>
      <c r="AD25" t="str">
        <f ca="1">IFERROR(IF(0=LEN(ReferenceData!$AD$25),"",ReferenceData!$AD$25),"")</f>
        <v/>
      </c>
      <c r="AE25" t="str">
        <f ca="1">IFERROR(IF(0=LEN(ReferenceData!$AE$25),"",ReferenceData!$AE$25),"")</f>
        <v/>
      </c>
      <c r="AF25" t="str">
        <f ca="1">IFERROR(IF(0=LEN(ReferenceData!$AF$25),"",ReferenceData!$AF$25),"")</f>
        <v/>
      </c>
      <c r="AG25" t="str">
        <f ca="1">IFERROR(IF(0=LEN(ReferenceData!$AG$25),"",ReferenceData!$AG$25),"")</f>
        <v/>
      </c>
      <c r="AH25" t="str">
        <f ca="1">IFERROR(IF(0=LEN(ReferenceData!$AH$25),"",ReferenceData!$AH$25),"")</f>
        <v/>
      </c>
      <c r="AI25" t="str">
        <f ca="1">IFERROR(IF(0=LEN(ReferenceData!$AI$25),"",ReferenceData!$AI$25),"")</f>
        <v/>
      </c>
      <c r="AJ25" t="str">
        <f ca="1">IFERROR(IF(0=LEN(ReferenceData!$AJ$25),"",ReferenceData!$AJ$25),"")</f>
        <v/>
      </c>
      <c r="AK25">
        <f ca="1">IFERROR(IF(0=LEN(ReferenceData!$AK$25),"",ReferenceData!$AK$25),"")</f>
        <v>122</v>
      </c>
      <c r="AL25">
        <f ca="1">IFERROR(IF(0=LEN(ReferenceData!$AL$25),"",ReferenceData!$AL$25),"")</f>
        <v>519</v>
      </c>
      <c r="AM25">
        <f ca="1">IFERROR(IF(0=LEN(ReferenceData!$AM$25),"",ReferenceData!$AM$25),"")</f>
        <v>589</v>
      </c>
      <c r="AN25">
        <f ca="1">IFERROR(IF(0=LEN(ReferenceData!$AN$25),"",ReferenceData!$AN$25),"")</f>
        <v>312</v>
      </c>
      <c r="AO25">
        <f ca="1">IFERROR(IF(0=LEN(ReferenceData!$AO$25),"",ReferenceData!$AO$25),"")</f>
        <v>433</v>
      </c>
      <c r="AP25">
        <f ca="1">IFERROR(IF(0=LEN(ReferenceData!$AP$25),"",ReferenceData!$AP$25),"")</f>
        <v>262</v>
      </c>
      <c r="AQ25">
        <f ca="1">IFERROR(IF(0=LEN(ReferenceData!$AQ$25),"",ReferenceData!$AQ$25),"")</f>
        <v>407</v>
      </c>
      <c r="AR25">
        <f ca="1">IFERROR(IF(0=LEN(ReferenceData!$AR$25),"",ReferenceData!$AR$25),"")</f>
        <v>1001</v>
      </c>
      <c r="AS25">
        <f ca="1">IFERROR(IF(0=LEN(ReferenceData!$AS$25),"",ReferenceData!$AS$25),"")</f>
        <v>694</v>
      </c>
      <c r="AT25">
        <f ca="1">IFERROR(IF(0=LEN(ReferenceData!$AT$25),"",ReferenceData!$AT$25),"")</f>
        <v>352</v>
      </c>
      <c r="AU25">
        <f ca="1">IFERROR(IF(0=LEN(ReferenceData!$AU$25),"",ReferenceData!$AU$25),"")</f>
        <v>272</v>
      </c>
      <c r="AV25">
        <f ca="1">IFERROR(IF(0=LEN(ReferenceData!$AV$25),"",ReferenceData!$AV$25),"")</f>
        <v>527</v>
      </c>
      <c r="AW25">
        <f ca="1">IFERROR(IF(0=LEN(ReferenceData!$AW$25),"",ReferenceData!$AW$25),"")</f>
        <v>412</v>
      </c>
      <c r="AX25">
        <f ca="1">IFERROR(IF(0=LEN(ReferenceData!$AX$25),"",ReferenceData!$AX$25),"")</f>
        <v>848</v>
      </c>
      <c r="AY25">
        <f ca="1">IFERROR(IF(0=LEN(ReferenceData!$AY$25),"",ReferenceData!$AY$25),"")</f>
        <v>585</v>
      </c>
      <c r="AZ25">
        <f ca="1">IFERROR(IF(0=LEN(ReferenceData!$AZ$25),"",ReferenceData!$AZ$25),"")</f>
        <v>1178</v>
      </c>
      <c r="BA25">
        <f ca="1">IFERROR(IF(0=LEN(ReferenceData!$BA$25),"",ReferenceData!$BA$25),"")</f>
        <v>1263</v>
      </c>
      <c r="BB25">
        <f ca="1">IFERROR(IF(0=LEN(ReferenceData!$BB$25),"",ReferenceData!$BB$25),"")</f>
        <v>-540</v>
      </c>
      <c r="BC25">
        <f ca="1">IFERROR(IF(0=LEN(ReferenceData!$BC$25),"",ReferenceData!$BC$25),"")</f>
        <v>2019</v>
      </c>
      <c r="BD25">
        <f ca="1">IFERROR(IF(0=LEN(ReferenceData!$BD$25),"",ReferenceData!$BD$25),"")</f>
        <v>1659</v>
      </c>
      <c r="BE25">
        <f ca="1">IFERROR(IF(0=LEN(ReferenceData!$BE$25),"",ReferenceData!$BE$25),"")</f>
        <v>1612</v>
      </c>
      <c r="BF25">
        <f ca="1">IFERROR(IF(0=LEN(ReferenceData!$BF$25),"",ReferenceData!$BF$25),"")</f>
        <v>2119</v>
      </c>
      <c r="BG25">
        <f ca="1">IFERROR(IF(0=LEN(ReferenceData!$BG$25),"",ReferenceData!$BG$25),"")</f>
        <v>1617</v>
      </c>
      <c r="BH25">
        <f ca="1">IFERROR(IF(0=LEN(ReferenceData!$BH$25),"",ReferenceData!$BH$25),"")</f>
        <v>-13196</v>
      </c>
      <c r="BI25">
        <f ca="1">IFERROR(IF(0=LEN(ReferenceData!$BI$25),"",ReferenceData!$BI$25),"")</f>
        <v>630</v>
      </c>
      <c r="BJ25">
        <f ca="1">IFERROR(IF(0=LEN(ReferenceData!$BJ$25),"",ReferenceData!$BJ$25),"")</f>
        <v>-1419</v>
      </c>
      <c r="BK25">
        <f ca="1">IFERROR(IF(0=LEN(ReferenceData!$BK$25),"",ReferenceData!$BK$25),"")</f>
        <v>1755</v>
      </c>
      <c r="BL25">
        <f ca="1">IFERROR(IF(0=LEN(ReferenceData!$BL$25),"",ReferenceData!$BL$25),"")</f>
        <v>898</v>
      </c>
      <c r="BM25" t="str">
        <f ca="1">IFERROR(IF(0=LEN(ReferenceData!$BM$25),"",ReferenceData!$BM$25),"")</f>
        <v/>
      </c>
    </row>
    <row r="26" spans="1:65">
      <c r="A26" t="str">
        <f>IFERROR(IF(0=LEN(ReferenceData!$A$26),"",ReferenceData!$A$26),"")</f>
        <v xml:space="preserve">    Citigroup Inc</v>
      </c>
      <c r="B26" t="str">
        <f>IFERROR(IF(0=LEN(ReferenceData!$B$26),"",ReferenceData!$B$26),"")</f>
        <v>C US Equity</v>
      </c>
      <c r="C26" t="str">
        <f>IFERROR(IF(0=LEN(ReferenceData!$C$26),"",ReferenceData!$C$26),"")</f>
        <v>A0621</v>
      </c>
      <c r="D26" t="str">
        <f>IFERROR(IF(0=LEN(ReferenceData!$D$26),"",ReferenceData!$D$26),"")</f>
        <v>ARD_MORTGAGE_BANKING_REVENUE</v>
      </c>
      <c r="E26" t="str">
        <f>IFERROR(IF(0=LEN(ReferenceData!$E$26),"",ReferenceData!$E$26),"")</f>
        <v>Dynamic</v>
      </c>
      <c r="F26" t="str">
        <f ca="1">IFERROR(IF(0=LEN(ReferenceData!$F$26),"",ReferenceData!$F$26),"")</f>
        <v/>
      </c>
      <c r="G26" t="str">
        <f ca="1">IFERROR(IF(0=LEN(ReferenceData!$G$26),"",ReferenceData!$G$26),"")</f>
        <v/>
      </c>
      <c r="H26" t="str">
        <f ca="1">IFERROR(IF(0=LEN(ReferenceData!$H$26),"",ReferenceData!$H$26),"")</f>
        <v/>
      </c>
      <c r="I26" t="str">
        <f ca="1">IFERROR(IF(0=LEN(ReferenceData!$I$26),"",ReferenceData!$I$26),"")</f>
        <v/>
      </c>
      <c r="J26" t="str">
        <f ca="1">IFERROR(IF(0=LEN(ReferenceData!$J$26),"",ReferenceData!$J$26),"")</f>
        <v/>
      </c>
      <c r="K26" t="str">
        <f ca="1">IFERROR(IF(0=LEN(ReferenceData!$K$26),"",ReferenceData!$K$26),"")</f>
        <v/>
      </c>
      <c r="L26" t="str">
        <f ca="1">IFERROR(IF(0=LEN(ReferenceData!$L$26),"",ReferenceData!$L$26),"")</f>
        <v/>
      </c>
      <c r="M26" t="str">
        <f ca="1">IFERROR(IF(0=LEN(ReferenceData!$M$26),"",ReferenceData!$M$26),"")</f>
        <v/>
      </c>
      <c r="N26" t="str">
        <f ca="1">IFERROR(IF(0=LEN(ReferenceData!$N$26),"",ReferenceData!$N$26),"")</f>
        <v/>
      </c>
      <c r="O26" t="str">
        <f ca="1">IFERROR(IF(0=LEN(ReferenceData!$O$26),"",ReferenceData!$O$26),"")</f>
        <v/>
      </c>
      <c r="P26" t="str">
        <f ca="1">IFERROR(IF(0=LEN(ReferenceData!$P$26),"",ReferenceData!$P$26),"")</f>
        <v/>
      </c>
      <c r="Q26" t="str">
        <f ca="1">IFERROR(IF(0=LEN(ReferenceData!$Q$26),"",ReferenceData!$Q$26),"")</f>
        <v/>
      </c>
      <c r="R26" t="str">
        <f ca="1">IFERROR(IF(0=LEN(ReferenceData!$R$26),"",ReferenceData!$R$26),"")</f>
        <v/>
      </c>
      <c r="S26" t="str">
        <f ca="1">IFERROR(IF(0=LEN(ReferenceData!$S$26),"",ReferenceData!$S$26),"")</f>
        <v/>
      </c>
      <c r="T26" t="str">
        <f ca="1">IFERROR(IF(0=LEN(ReferenceData!$T$26),"",ReferenceData!$T$26),"")</f>
        <v/>
      </c>
      <c r="U26" t="str">
        <f ca="1">IFERROR(IF(0=LEN(ReferenceData!$U$26),"",ReferenceData!$U$26),"")</f>
        <v/>
      </c>
      <c r="V26" t="str">
        <f ca="1">IFERROR(IF(0=LEN(ReferenceData!$V$26),"",ReferenceData!$V$26),"")</f>
        <v/>
      </c>
      <c r="W26" t="str">
        <f ca="1">IFERROR(IF(0=LEN(ReferenceData!$W$26),"",ReferenceData!$W$26),"")</f>
        <v/>
      </c>
      <c r="X26" t="str">
        <f ca="1">IFERROR(IF(0=LEN(ReferenceData!$X$26),"",ReferenceData!$X$26),"")</f>
        <v/>
      </c>
      <c r="Y26" t="str">
        <f ca="1">IFERROR(IF(0=LEN(ReferenceData!$Y$26),"",ReferenceData!$Y$26),"")</f>
        <v/>
      </c>
      <c r="Z26" t="str">
        <f ca="1">IFERROR(IF(0=LEN(ReferenceData!$Z$26),"",ReferenceData!$Z$26),"")</f>
        <v/>
      </c>
      <c r="AA26" t="str">
        <f ca="1">IFERROR(IF(0=LEN(ReferenceData!$AA$26),"",ReferenceData!$AA$26),"")</f>
        <v/>
      </c>
      <c r="AB26" t="str">
        <f ca="1">IFERROR(IF(0=LEN(ReferenceData!$AB$26),"",ReferenceData!$AB$26),"")</f>
        <v/>
      </c>
      <c r="AC26" t="str">
        <f ca="1">IFERROR(IF(0=LEN(ReferenceData!$AC$26),"",ReferenceData!$AC$26),"")</f>
        <v/>
      </c>
      <c r="AD26" t="str">
        <f ca="1">IFERROR(IF(0=LEN(ReferenceData!$AD$26),"",ReferenceData!$AD$26),"")</f>
        <v/>
      </c>
      <c r="AE26" t="str">
        <f ca="1">IFERROR(IF(0=LEN(ReferenceData!$AE$26),"",ReferenceData!$AE$26),"")</f>
        <v/>
      </c>
      <c r="AF26" t="str">
        <f ca="1">IFERROR(IF(0=LEN(ReferenceData!$AF$26),"",ReferenceData!$AF$26),"")</f>
        <v/>
      </c>
      <c r="AG26" t="str">
        <f ca="1">IFERROR(IF(0=LEN(ReferenceData!$AG$26),"",ReferenceData!$AG$26),"")</f>
        <v/>
      </c>
      <c r="AH26" t="str">
        <f ca="1">IFERROR(IF(0=LEN(ReferenceData!$AH$26),"",ReferenceData!$AH$26),"")</f>
        <v/>
      </c>
      <c r="AI26" t="str">
        <f ca="1">IFERROR(IF(0=LEN(ReferenceData!$AI$26),"",ReferenceData!$AI$26),"")</f>
        <v/>
      </c>
      <c r="AJ26" t="str">
        <f ca="1">IFERROR(IF(0=LEN(ReferenceData!$AJ$26),"",ReferenceData!$AJ$26),"")</f>
        <v/>
      </c>
      <c r="AK26" t="str">
        <f ca="1">IFERROR(IF(0=LEN(ReferenceData!$AK$26),"",ReferenceData!$AK$26),"")</f>
        <v/>
      </c>
      <c r="AL26" t="str">
        <f ca="1">IFERROR(IF(0=LEN(ReferenceData!$AL$26),"",ReferenceData!$AL$26),"")</f>
        <v/>
      </c>
      <c r="AM26" t="str">
        <f ca="1">IFERROR(IF(0=LEN(ReferenceData!$AM$26),"",ReferenceData!$AM$26),"")</f>
        <v/>
      </c>
      <c r="AN26" t="str">
        <f ca="1">IFERROR(IF(0=LEN(ReferenceData!$AN$26),"",ReferenceData!$AN$26),"")</f>
        <v/>
      </c>
      <c r="AO26" t="str">
        <f ca="1">IFERROR(IF(0=LEN(ReferenceData!$AO$26),"",ReferenceData!$AO$26),"")</f>
        <v/>
      </c>
      <c r="AP26" t="str">
        <f ca="1">IFERROR(IF(0=LEN(ReferenceData!$AP$26),"",ReferenceData!$AP$26),"")</f>
        <v/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>
      <c r="A27" t="str">
        <f>IFERROR(IF(0=LEN(ReferenceData!$A$27),"",ReferenceData!$A$27),"")</f>
        <v xml:space="preserve">    Citizens Financial Group Inc</v>
      </c>
      <c r="B27" t="str">
        <f>IFERROR(IF(0=LEN(ReferenceData!$B$27),"",ReferenceData!$B$27),"")</f>
        <v>CFG US Equity</v>
      </c>
      <c r="C27" t="str">
        <f>IFERROR(IF(0=LEN(ReferenceData!$C$27),"",ReferenceData!$C$27),"")</f>
        <v>A0621</v>
      </c>
      <c r="D27" t="str">
        <f>IFERROR(IF(0=LEN(ReferenceData!$D$27),"",ReferenceData!$D$27),"")</f>
        <v>ARD_MORTGAGE_BANKING_REVENUE</v>
      </c>
      <c r="E27" t="str">
        <f>IFERROR(IF(0=LEN(ReferenceData!$E$27),"",ReferenceData!$E$27),"")</f>
        <v>Dynamic</v>
      </c>
      <c r="F27">
        <f ca="1">IFERROR(IF(0=LEN(ReferenceData!$F$27),"",ReferenceData!$F$27),"")</f>
        <v>60</v>
      </c>
      <c r="G27">
        <f ca="1">IFERROR(IF(0=LEN(ReferenceData!$G$27),"",ReferenceData!$G$27),"")</f>
        <v>46</v>
      </c>
      <c r="H27">
        <f ca="1">IFERROR(IF(0=LEN(ReferenceData!$H$27),"",ReferenceData!$H$27),"")</f>
        <v>54</v>
      </c>
      <c r="I27">
        <f ca="1">IFERROR(IF(0=LEN(ReferenceData!$I$27),"",ReferenceData!$I$27),"")</f>
        <v>49</v>
      </c>
      <c r="J27">
        <f ca="1">IFERROR(IF(0=LEN(ReferenceData!$J$27),"",ReferenceData!$J$27),"")</f>
        <v>57</v>
      </c>
      <c r="K27">
        <f ca="1">IFERROR(IF(0=LEN(ReferenceData!$K$27),"",ReferenceData!$K$27),"")</f>
        <v>69</v>
      </c>
      <c r="L27">
        <f ca="1">IFERROR(IF(0=LEN(ReferenceData!$L$27),"",ReferenceData!$L$27),"")</f>
        <v>59</v>
      </c>
      <c r="M27">
        <f ca="1">IFERROR(IF(0=LEN(ReferenceData!$M$27),"",ReferenceData!$M$27),"")</f>
        <v>57</v>
      </c>
      <c r="N27">
        <f ca="1">IFERROR(IF(0=LEN(ReferenceData!$N$27),"",ReferenceData!$N$27),"")</f>
        <v>54</v>
      </c>
      <c r="O27">
        <f ca="1">IFERROR(IF(0=LEN(ReferenceData!$O$27),"",ReferenceData!$O$27),"")</f>
        <v>66</v>
      </c>
      <c r="P27">
        <f ca="1">IFERROR(IF(0=LEN(ReferenceData!$P$27),"",ReferenceData!$P$27),"")</f>
        <v>72</v>
      </c>
      <c r="Q27">
        <f ca="1">IFERROR(IF(0=LEN(ReferenceData!$Q$27),"",ReferenceData!$Q$27),"")</f>
        <v>69</v>
      </c>
      <c r="R27">
        <f ca="1">IFERROR(IF(0=LEN(ReferenceData!$R$27),"",ReferenceData!$R$27),"")</f>
        <v>76</v>
      </c>
      <c r="S27">
        <f ca="1">IFERROR(IF(0=LEN(ReferenceData!$S$27),"",ReferenceData!$S$27),"")</f>
        <v>108</v>
      </c>
      <c r="T27">
        <f ca="1">IFERROR(IF(0=LEN(ReferenceData!$T$27),"",ReferenceData!$T$27),"")</f>
        <v>85</v>
      </c>
      <c r="U27">
        <f ca="1">IFERROR(IF(0=LEN(ReferenceData!$U$27),"",ReferenceData!$U$27),"")</f>
        <v>165</v>
      </c>
      <c r="V27">
        <f ca="1">IFERROR(IF(0=LEN(ReferenceData!$V$27),"",ReferenceData!$V$27),"")</f>
        <v>193</v>
      </c>
      <c r="W27">
        <f ca="1">IFERROR(IF(0=LEN(ReferenceData!$W$27),"",ReferenceData!$W$27),"")</f>
        <v>287</v>
      </c>
      <c r="X27">
        <f ca="1">IFERROR(IF(0=LEN(ReferenceData!$X$27),"",ReferenceData!$X$27),"")</f>
        <v>276</v>
      </c>
      <c r="Y27">
        <f ca="1">IFERROR(IF(0=LEN(ReferenceData!$Y$27),"",ReferenceData!$Y$27),"")</f>
        <v>159</v>
      </c>
      <c r="Z27">
        <f ca="1">IFERROR(IF(0=LEN(ReferenceData!$Z$27),"",ReferenceData!$Z$27),"")</f>
        <v>80</v>
      </c>
      <c r="AA27">
        <f ca="1">IFERROR(IF(0=LEN(ReferenceData!$AA$27),"",ReferenceData!$AA$27),"")</f>
        <v>117</v>
      </c>
      <c r="AB27">
        <f ca="1">IFERROR(IF(0=LEN(ReferenceData!$AB$27),"",ReferenceData!$AB$27),"")</f>
        <v>62</v>
      </c>
      <c r="AC27">
        <f ca="1">IFERROR(IF(0=LEN(ReferenceData!$AC$27),"",ReferenceData!$AC$27),"")</f>
        <v>43</v>
      </c>
      <c r="AD27">
        <f ca="1">IFERROR(IF(0=LEN(ReferenceData!$AD$27),"",ReferenceData!$AD$27),"")</f>
        <v>51</v>
      </c>
      <c r="AE27">
        <f ca="1">IFERROR(IF(0=LEN(ReferenceData!$AE$27),"",ReferenceData!$AE$27),"")</f>
        <v>49</v>
      </c>
      <c r="AF27">
        <f ca="1">IFERROR(IF(0=LEN(ReferenceData!$AF$27),"",ReferenceData!$AF$27),"")</f>
        <v>27</v>
      </c>
      <c r="AG27">
        <f ca="1">IFERROR(IF(0=LEN(ReferenceData!$AG$27),"",ReferenceData!$AG$27),"")</f>
        <v>25</v>
      </c>
      <c r="AH27" t="str">
        <f ca="1">IFERROR(IF(0=LEN(ReferenceData!$AH$27),"",ReferenceData!$AH$27),"")</f>
        <v/>
      </c>
      <c r="AI27">
        <f ca="1">IFERROR(IF(0=LEN(ReferenceData!$AI$27),"",ReferenceData!$AI$27),"")</f>
        <v>27</v>
      </c>
      <c r="AJ27">
        <f ca="1">IFERROR(IF(0=LEN(ReferenceData!$AJ$27),"",ReferenceData!$AJ$27),"")</f>
        <v>30</v>
      </c>
      <c r="AK27">
        <f ca="1">IFERROR(IF(0=LEN(ReferenceData!$AK$27),"",ReferenceData!$AK$27),"")</f>
        <v>23</v>
      </c>
      <c r="AL27">
        <f ca="1">IFERROR(IF(0=LEN(ReferenceData!$AL$27),"",ReferenceData!$AL$27),"")</f>
        <v>36</v>
      </c>
      <c r="AM27">
        <f ca="1">IFERROR(IF(0=LEN(ReferenceData!$AM$27),"",ReferenceData!$AM$27),"")</f>
        <v>33</v>
      </c>
      <c r="AN27">
        <f ca="1">IFERROR(IF(0=LEN(ReferenceData!$AN$27),"",ReferenceData!$AN$27),"")</f>
        <v>25</v>
      </c>
      <c r="AO27">
        <f ca="1">IFERROR(IF(0=LEN(ReferenceData!$AO$27),"",ReferenceData!$AO$27),"")</f>
        <v>18</v>
      </c>
      <c r="AP27">
        <f ca="1">IFERROR(IF(0=LEN(ReferenceData!$AP$27),"",ReferenceData!$AP$27),"")</f>
        <v>20</v>
      </c>
      <c r="AQ27">
        <f ca="1">IFERROR(IF(0=LEN(ReferenceData!$AQ$27),"",ReferenceData!$AQ$27),"")</f>
        <v>18</v>
      </c>
      <c r="AR27">
        <f ca="1">IFERROR(IF(0=LEN(ReferenceData!$AR$27),"",ReferenceData!$AR$27),"")</f>
        <v>30</v>
      </c>
      <c r="AS27">
        <f ca="1">IFERROR(IF(0=LEN(ReferenceData!$AS$27),"",ReferenceData!$AS$27),"")</f>
        <v>33</v>
      </c>
      <c r="AT27">
        <f ca="1">IFERROR(IF(0=LEN(ReferenceData!$AT$27),"",ReferenceData!$AT$27),"")</f>
        <v>16</v>
      </c>
      <c r="AU27">
        <f ca="1">IFERROR(IF(0=LEN(ReferenceData!$AU$27),"",ReferenceData!$AU$27),"")</f>
        <v>21</v>
      </c>
      <c r="AV27">
        <f ca="1">IFERROR(IF(0=LEN(ReferenceData!$AV$27),"",ReferenceData!$AV$27),"")</f>
        <v>14</v>
      </c>
      <c r="AW27">
        <f ca="1">IFERROR(IF(0=LEN(ReferenceData!$AW$27),"",ReferenceData!$AW$27),"")</f>
        <v>20</v>
      </c>
      <c r="AX27">
        <f ca="1">IFERROR(IF(0=LEN(ReferenceData!$AX$27),"",ReferenceData!$AX$27),"")</f>
        <v>20</v>
      </c>
      <c r="AY27">
        <f ca="1">IFERROR(IF(0=LEN(ReferenceData!$AY$27),"",ReferenceData!$AY$27),"")</f>
        <v>20</v>
      </c>
      <c r="AZ27" t="str">
        <f ca="1">IFERROR(IF(0=LEN(ReferenceData!$AZ$27),"",ReferenceData!$AZ$27),"")</f>
        <v/>
      </c>
      <c r="BA27">
        <f ca="1">IFERROR(IF(0=LEN(ReferenceData!$BA$27),"",ReferenceData!$BA$27),"")</f>
        <v>46</v>
      </c>
      <c r="BB27" t="str">
        <f ca="1">IFERROR(IF(0=LEN(ReferenceData!$BB$27),"",ReferenceData!$BB$27),"")</f>
        <v/>
      </c>
      <c r="BC27" t="str">
        <f ca="1">IFERROR(IF(0=LEN(ReferenceData!$BC$27),"",ReferenceData!$BC$27),"")</f>
        <v/>
      </c>
      <c r="BD27" t="str">
        <f ca="1">IFERROR(IF(0=LEN(ReferenceData!$BD$27),"",ReferenceData!$BD$27),"")</f>
        <v/>
      </c>
      <c r="BE27" t="str">
        <f ca="1">IFERROR(IF(0=LEN(ReferenceData!$BE$27),"",ReferenceData!$BE$27),"")</f>
        <v/>
      </c>
      <c r="BF27" t="str">
        <f ca="1">IFERROR(IF(0=LEN(ReferenceData!$BF$27),"",ReferenceData!$BF$27),"")</f>
        <v/>
      </c>
      <c r="BG27" t="str">
        <f ca="1">IFERROR(IF(0=LEN(ReferenceData!$BG$27),"",ReferenceData!$BG$27),"")</f>
        <v/>
      </c>
      <c r="BH27" t="str">
        <f ca="1">IFERROR(IF(0=LEN(ReferenceData!$BH$27),"",ReferenceData!$BH$27),"")</f>
        <v/>
      </c>
      <c r="BI27" t="str">
        <f ca="1">IFERROR(IF(0=LEN(ReferenceData!$BI$27),"",ReferenceData!$BI$27),"")</f>
        <v/>
      </c>
      <c r="BJ27" t="str">
        <f ca="1">IFERROR(IF(0=LEN(ReferenceData!$BJ$27),"",ReferenceData!$BJ$27),"")</f>
        <v/>
      </c>
      <c r="BK27" t="str">
        <f ca="1">IFERROR(IF(0=LEN(ReferenceData!$BK$27),"",ReferenceData!$BK$27),"")</f>
        <v/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>
      <c r="A28" t="str">
        <f>IFERROR(IF(0=LEN(ReferenceData!$A$28),"",ReferenceData!$A$28),"")</f>
        <v xml:space="preserve">    Capital One Financial Corp</v>
      </c>
      <c r="B28" t="str">
        <f>IFERROR(IF(0=LEN(ReferenceData!$B$28),"",ReferenceData!$B$28),"")</f>
        <v>COF US Equity</v>
      </c>
      <c r="C28" t="str">
        <f>IFERROR(IF(0=LEN(ReferenceData!$C$28),"",ReferenceData!$C$28),"")</f>
        <v>A0621</v>
      </c>
      <c r="D28" t="str">
        <f>IFERROR(IF(0=LEN(ReferenceData!$D$28),"",ReferenceData!$D$28),"")</f>
        <v>ARD_MORTGAGE_BANKING_REVENUE</v>
      </c>
      <c r="E28" t="str">
        <f>IFERROR(IF(0=LEN(ReferenceData!$E$28),"",ReferenceData!$E$28),"")</f>
        <v>Dynamic</v>
      </c>
      <c r="F28" t="str">
        <f ca="1">IFERROR(IF(0=LEN(ReferenceData!$F$28),"",ReferenceData!$F$28),"")</f>
        <v/>
      </c>
      <c r="G28" t="str">
        <f ca="1">IFERROR(IF(0=LEN(ReferenceData!$G$28),"",ReferenceData!$G$28),"")</f>
        <v/>
      </c>
      <c r="H28" t="str">
        <f ca="1">IFERROR(IF(0=LEN(ReferenceData!$H$28),"",ReferenceData!$H$28),"")</f>
        <v/>
      </c>
      <c r="I28" t="str">
        <f ca="1">IFERROR(IF(0=LEN(ReferenceData!$I$28),"",ReferenceData!$I$28),"")</f>
        <v/>
      </c>
      <c r="J28" t="str">
        <f ca="1">IFERROR(IF(0=LEN(ReferenceData!$J$28),"",ReferenceData!$J$28),"")</f>
        <v/>
      </c>
      <c r="K28" t="str">
        <f ca="1">IFERROR(IF(0=LEN(ReferenceData!$K$28),"",ReferenceData!$K$28),"")</f>
        <v/>
      </c>
      <c r="L28" t="str">
        <f ca="1">IFERROR(IF(0=LEN(ReferenceData!$L$28),"",ReferenceData!$L$28),"")</f>
        <v/>
      </c>
      <c r="M28" t="str">
        <f ca="1">IFERROR(IF(0=LEN(ReferenceData!$M$28),"",ReferenceData!$M$28),"")</f>
        <v/>
      </c>
      <c r="N28" t="str">
        <f ca="1">IFERROR(IF(0=LEN(ReferenceData!$N$28),"",ReferenceData!$N$28),"")</f>
        <v/>
      </c>
      <c r="O28" t="str">
        <f ca="1">IFERROR(IF(0=LEN(ReferenceData!$O$28),"",ReferenceData!$O$28),"")</f>
        <v/>
      </c>
      <c r="P28" t="str">
        <f ca="1">IFERROR(IF(0=LEN(ReferenceData!$P$28),"",ReferenceData!$P$28),"")</f>
        <v/>
      </c>
      <c r="Q28" t="str">
        <f ca="1">IFERROR(IF(0=LEN(ReferenceData!$Q$28),"",ReferenceData!$Q$28),"")</f>
        <v/>
      </c>
      <c r="R28" t="str">
        <f ca="1">IFERROR(IF(0=LEN(ReferenceData!$R$28),"",ReferenceData!$R$28),"")</f>
        <v/>
      </c>
      <c r="S28" t="str">
        <f ca="1">IFERROR(IF(0=LEN(ReferenceData!$S$28),"",ReferenceData!$S$28),"")</f>
        <v/>
      </c>
      <c r="T28" t="str">
        <f ca="1">IFERROR(IF(0=LEN(ReferenceData!$T$28),"",ReferenceData!$T$28),"")</f>
        <v/>
      </c>
      <c r="U28" t="str">
        <f ca="1">IFERROR(IF(0=LEN(ReferenceData!$U$28),"",ReferenceData!$U$28),"")</f>
        <v/>
      </c>
      <c r="V28" t="str">
        <f ca="1">IFERROR(IF(0=LEN(ReferenceData!$V$28),"",ReferenceData!$V$28),"")</f>
        <v/>
      </c>
      <c r="W28" t="str">
        <f ca="1">IFERROR(IF(0=LEN(ReferenceData!$W$28),"",ReferenceData!$W$28),"")</f>
        <v/>
      </c>
      <c r="X28" t="str">
        <f ca="1">IFERROR(IF(0=LEN(ReferenceData!$X$28),"",ReferenceData!$X$28),"")</f>
        <v/>
      </c>
      <c r="Y28" t="str">
        <f ca="1">IFERROR(IF(0=LEN(ReferenceData!$Y$28),"",ReferenceData!$Y$28),"")</f>
        <v/>
      </c>
      <c r="Z28" t="str">
        <f ca="1">IFERROR(IF(0=LEN(ReferenceData!$Z$28),"",ReferenceData!$Z$28),"")</f>
        <v/>
      </c>
      <c r="AA28" t="str">
        <f ca="1">IFERROR(IF(0=LEN(ReferenceData!$AA$28),"",ReferenceData!$AA$28),"")</f>
        <v/>
      </c>
      <c r="AB28" t="str">
        <f ca="1">IFERROR(IF(0=LEN(ReferenceData!$AB$28),"",ReferenceData!$AB$28),"")</f>
        <v/>
      </c>
      <c r="AC28" t="str">
        <f ca="1">IFERROR(IF(0=LEN(ReferenceData!$AC$28),"",ReferenceData!$AC$28),"")</f>
        <v/>
      </c>
      <c r="AD28" t="str">
        <f ca="1">IFERROR(IF(0=LEN(ReferenceData!$AD$28),"",ReferenceData!$AD$28),"")</f>
        <v/>
      </c>
      <c r="AE28" t="str">
        <f ca="1">IFERROR(IF(0=LEN(ReferenceData!$AE$28),"",ReferenceData!$AE$28),"")</f>
        <v/>
      </c>
      <c r="AF28" t="str">
        <f ca="1">IFERROR(IF(0=LEN(ReferenceData!$AF$28),"",ReferenceData!$AF$28),"")</f>
        <v/>
      </c>
      <c r="AG28" t="str">
        <f ca="1">IFERROR(IF(0=LEN(ReferenceData!$AG$28),"",ReferenceData!$AG$28),"")</f>
        <v/>
      </c>
      <c r="AH28" t="str">
        <f ca="1">IFERROR(IF(0=LEN(ReferenceData!$AH$28),"",ReferenceData!$AH$28),"")</f>
        <v/>
      </c>
      <c r="AI28" t="str">
        <f ca="1">IFERROR(IF(0=LEN(ReferenceData!$AI$28),"",ReferenceData!$AI$28),"")</f>
        <v/>
      </c>
      <c r="AJ28" t="str">
        <f ca="1">IFERROR(IF(0=LEN(ReferenceData!$AJ$28),"",ReferenceData!$AJ$28),"")</f>
        <v/>
      </c>
      <c r="AK28" t="str">
        <f ca="1">IFERROR(IF(0=LEN(ReferenceData!$AK$28),"",ReferenceData!$AK$28),"")</f>
        <v/>
      </c>
      <c r="AL28" t="str">
        <f ca="1">IFERROR(IF(0=LEN(ReferenceData!$AL$28),"",ReferenceData!$AL$28),"")</f>
        <v/>
      </c>
      <c r="AM28" t="str">
        <f ca="1">IFERROR(IF(0=LEN(ReferenceData!$AM$28),"",ReferenceData!$AM$28),"")</f>
        <v/>
      </c>
      <c r="AN28" t="str">
        <f ca="1">IFERROR(IF(0=LEN(ReferenceData!$AN$28),"",ReferenceData!$AN$28),"")</f>
        <v/>
      </c>
      <c r="AO28" t="str">
        <f ca="1">IFERROR(IF(0=LEN(ReferenceData!$AO$28),"",ReferenceData!$AO$28),"")</f>
        <v/>
      </c>
      <c r="AP28" t="str">
        <f ca="1">IFERROR(IF(0=LEN(ReferenceData!$AP$28),"",ReferenceData!$AP$28),"")</f>
        <v/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>
      <c r="A29" t="str">
        <f>IFERROR(IF(0=LEN(ReferenceData!$A$29),"",ReferenceData!$A$29),"")</f>
        <v xml:space="preserve">    Comerica Inc</v>
      </c>
      <c r="B29" t="str">
        <f>IFERROR(IF(0=LEN(ReferenceData!$B$29),"",ReferenceData!$B$29),"")</f>
        <v>CMA US Equity</v>
      </c>
      <c r="C29" t="str">
        <f>IFERROR(IF(0=LEN(ReferenceData!$C$29),"",ReferenceData!$C$29),"")</f>
        <v>A0621</v>
      </c>
      <c r="D29" t="str">
        <f>IFERROR(IF(0=LEN(ReferenceData!$D$29),"",ReferenceData!$D$29),"")</f>
        <v>ARD_MORTGAGE_BANKING_REVENUE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 t="str">
        <f ca="1">IFERROR(IF(0=LEN(ReferenceData!$I$29),"",ReferenceData!$I$29),"")</f>
        <v/>
      </c>
      <c r="J29" t="str">
        <f ca="1">IFERROR(IF(0=LEN(ReferenceData!$J$29),"",ReferenceData!$J$29),"")</f>
        <v/>
      </c>
      <c r="K29" t="str">
        <f ca="1">IFERROR(IF(0=LEN(ReferenceData!$K$29),"",ReferenceData!$K$29),"")</f>
        <v/>
      </c>
      <c r="L29" t="str">
        <f ca="1">IFERROR(IF(0=LEN(ReferenceData!$L$29),"",ReferenceData!$L$29),"")</f>
        <v/>
      </c>
      <c r="M29" t="str">
        <f ca="1">IFERROR(IF(0=LEN(ReferenceData!$M$29),"",ReferenceData!$M$29),"")</f>
        <v/>
      </c>
      <c r="N29" t="str">
        <f ca="1">IFERROR(IF(0=LEN(ReferenceData!$N$29),"",ReferenceData!$N$29),"")</f>
        <v/>
      </c>
      <c r="O29" t="str">
        <f ca="1">IFERROR(IF(0=LEN(ReferenceData!$O$29),"",ReferenceData!$O$29),"")</f>
        <v/>
      </c>
      <c r="P29" t="str">
        <f ca="1">IFERROR(IF(0=LEN(ReferenceData!$P$29),"",ReferenceData!$P$29),"")</f>
        <v/>
      </c>
      <c r="Q29" t="str">
        <f ca="1">IFERROR(IF(0=LEN(ReferenceData!$Q$29),"",ReferenceData!$Q$29),"")</f>
        <v/>
      </c>
      <c r="R29" t="str">
        <f ca="1">IFERROR(IF(0=LEN(ReferenceData!$R$29),"",ReferenceData!$R$29),"")</f>
        <v/>
      </c>
      <c r="S29" t="str">
        <f ca="1">IFERROR(IF(0=LEN(ReferenceData!$S$29),"",ReferenceData!$S$29),"")</f>
        <v/>
      </c>
      <c r="T29" t="str">
        <f ca="1">IFERROR(IF(0=LEN(ReferenceData!$T$29),"",ReferenceData!$T$29),"")</f>
        <v/>
      </c>
      <c r="U29" t="str">
        <f ca="1">IFERROR(IF(0=LEN(ReferenceData!$U$29),"",ReferenceData!$U$29),"")</f>
        <v/>
      </c>
      <c r="V29" t="str">
        <f ca="1">IFERROR(IF(0=LEN(ReferenceData!$V$29),"",ReferenceData!$V$29),"")</f>
        <v/>
      </c>
      <c r="W29" t="str">
        <f ca="1">IFERROR(IF(0=LEN(ReferenceData!$W$29),"",ReferenceData!$W$29),"")</f>
        <v/>
      </c>
      <c r="X29" t="str">
        <f ca="1">IFERROR(IF(0=LEN(ReferenceData!$X$29),"",ReferenceData!$X$29),"")</f>
        <v/>
      </c>
      <c r="Y29" t="str">
        <f ca="1">IFERROR(IF(0=LEN(ReferenceData!$Y$29),"",ReferenceData!$Y$29),"")</f>
        <v/>
      </c>
      <c r="Z29" t="str">
        <f ca="1">IFERROR(IF(0=LEN(ReferenceData!$Z$29),"",ReferenceData!$Z$29),"")</f>
        <v/>
      </c>
      <c r="AA29" t="str">
        <f ca="1">IFERROR(IF(0=LEN(ReferenceData!$AA$29),"",ReferenceData!$AA$29),"")</f>
        <v/>
      </c>
      <c r="AB29" t="str">
        <f ca="1">IFERROR(IF(0=LEN(ReferenceData!$AB$29),"",ReferenceData!$AB$29),"")</f>
        <v/>
      </c>
      <c r="AC29" t="str">
        <f ca="1">IFERROR(IF(0=LEN(ReferenceData!$AC$29),"",ReferenceData!$AC$29),"")</f>
        <v/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 t="str">
        <f ca="1">IFERROR(IF(0=LEN(ReferenceData!$AO$29),"",ReferenceData!$AO$29),"")</f>
        <v/>
      </c>
      <c r="AP29" t="str">
        <f ca="1">IFERROR(IF(0=LEN(ReferenceData!$AP$29),"",ReferenceData!$AP$29),"")</f>
        <v/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 t="str">
        <f ca="1">IFERROR(IF(0=LEN(ReferenceData!$AT$29),"",ReferenceData!$AT$29),"")</f>
        <v/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 t="str">
        <f ca="1">IFERROR(IF(0=LEN(ReferenceData!$BH$29),"",ReferenceData!$BH$29),"")</f>
        <v/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 t="str">
        <f ca="1">IFERROR(IF(0=LEN(ReferenceData!$BL$29),"",ReferenceData!$BL$29),"")</f>
        <v/>
      </c>
      <c r="BM29" t="str">
        <f ca="1">IFERROR(IF(0=LEN(ReferenceData!$BM$29),"",ReferenceData!$BM$29),"")</f>
        <v/>
      </c>
    </row>
    <row r="30" spans="1:65">
      <c r="A30" t="str">
        <f>IFERROR(IF(0=LEN(ReferenceData!$A$30),"",ReferenceData!$A$30),"")</f>
        <v xml:space="preserve">    East West Bancorp Inc</v>
      </c>
      <c r="B30" t="str">
        <f>IFERROR(IF(0=LEN(ReferenceData!$B$30),"",ReferenceData!$B$30),"")</f>
        <v>EWBC US Equity</v>
      </c>
      <c r="C30" t="str">
        <f>IFERROR(IF(0=LEN(ReferenceData!$C$30),"",ReferenceData!$C$30),"")</f>
        <v>A0621</v>
      </c>
      <c r="D30" t="str">
        <f>IFERROR(IF(0=LEN(ReferenceData!$D$30),"",ReferenceData!$D$30),"")</f>
        <v>ARD_MORTGAGE_BANKING_REVENUE</v>
      </c>
      <c r="E30" t="str">
        <f>IFERROR(IF(0=LEN(ReferenceData!$E$30),"",ReferenceData!$E$30),"")</f>
        <v>Dynamic</v>
      </c>
      <c r="F30" t="str">
        <f ca="1">IFERROR(IF(0=LEN(ReferenceData!$F$30),"",ReferenceData!$F$30),"")</f>
        <v/>
      </c>
      <c r="G30" t="str">
        <f ca="1">IFERROR(IF(0=LEN(ReferenceData!$G$30),"",ReferenceData!$G$30),"")</f>
        <v/>
      </c>
      <c r="H30" t="str">
        <f ca="1">IFERROR(IF(0=LEN(ReferenceData!$H$30),"",ReferenceData!$H$30),"")</f>
        <v/>
      </c>
      <c r="I30" t="str">
        <f ca="1">IFERROR(IF(0=LEN(ReferenceData!$I$30),"",ReferenceData!$I$30),"")</f>
        <v/>
      </c>
      <c r="J30" t="str">
        <f ca="1">IFERROR(IF(0=LEN(ReferenceData!$J$30),"",ReferenceData!$J$30),"")</f>
        <v/>
      </c>
      <c r="K30" t="str">
        <f ca="1">IFERROR(IF(0=LEN(ReferenceData!$K$30),"",ReferenceData!$K$30),"")</f>
        <v/>
      </c>
      <c r="L30" t="str">
        <f ca="1">IFERROR(IF(0=LEN(ReferenceData!$L$30),"",ReferenceData!$L$30),"")</f>
        <v/>
      </c>
      <c r="M30" t="str">
        <f ca="1">IFERROR(IF(0=LEN(ReferenceData!$M$30),"",ReferenceData!$M$30),"")</f>
        <v/>
      </c>
      <c r="N30" t="str">
        <f ca="1">IFERROR(IF(0=LEN(ReferenceData!$N$30),"",ReferenceData!$N$30),"")</f>
        <v/>
      </c>
      <c r="O30" t="str">
        <f ca="1">IFERROR(IF(0=LEN(ReferenceData!$O$30),"",ReferenceData!$O$30),"")</f>
        <v/>
      </c>
      <c r="P30" t="str">
        <f ca="1">IFERROR(IF(0=LEN(ReferenceData!$P$30),"",ReferenceData!$P$30),"")</f>
        <v/>
      </c>
      <c r="Q30" t="str">
        <f ca="1">IFERROR(IF(0=LEN(ReferenceData!$Q$30),"",ReferenceData!$Q$30),"")</f>
        <v/>
      </c>
      <c r="R30" t="str">
        <f ca="1">IFERROR(IF(0=LEN(ReferenceData!$R$30),"",ReferenceData!$R$30),"")</f>
        <v/>
      </c>
      <c r="S30" t="str">
        <f ca="1">IFERROR(IF(0=LEN(ReferenceData!$S$30),"",ReferenceData!$S$30),"")</f>
        <v/>
      </c>
      <c r="T30" t="str">
        <f ca="1">IFERROR(IF(0=LEN(ReferenceData!$T$30),"",ReferenceData!$T$30),"")</f>
        <v/>
      </c>
      <c r="U30" t="str">
        <f ca="1">IFERROR(IF(0=LEN(ReferenceData!$U$30),"",ReferenceData!$U$30),"")</f>
        <v/>
      </c>
      <c r="V30" t="str">
        <f ca="1">IFERROR(IF(0=LEN(ReferenceData!$V$30),"",ReferenceData!$V$30),"")</f>
        <v/>
      </c>
      <c r="W30" t="str">
        <f ca="1">IFERROR(IF(0=LEN(ReferenceData!$W$30),"",ReferenceData!$W$30),"")</f>
        <v/>
      </c>
      <c r="X30" t="str">
        <f ca="1">IFERROR(IF(0=LEN(ReferenceData!$X$30),"",ReferenceData!$X$30),"")</f>
        <v/>
      </c>
      <c r="Y30" t="str">
        <f ca="1">IFERROR(IF(0=LEN(ReferenceData!$Y$30),"",ReferenceData!$Y$30),"")</f>
        <v/>
      </c>
      <c r="Z30" t="str">
        <f ca="1">IFERROR(IF(0=LEN(ReferenceData!$Z$30),"",ReferenceData!$Z$30),"")</f>
        <v/>
      </c>
      <c r="AA30" t="str">
        <f ca="1">IFERROR(IF(0=LEN(ReferenceData!$AA$30),"",ReferenceData!$AA$30),"")</f>
        <v/>
      </c>
      <c r="AB30" t="str">
        <f ca="1">IFERROR(IF(0=LEN(ReferenceData!$AB$30),"",ReferenceData!$AB$30),"")</f>
        <v/>
      </c>
      <c r="AC30" t="str">
        <f ca="1">IFERROR(IF(0=LEN(ReferenceData!$AC$30),"",ReferenceData!$AC$30),"")</f>
        <v/>
      </c>
      <c r="AD30" t="str">
        <f ca="1">IFERROR(IF(0=LEN(ReferenceData!$AD$30),"",ReferenceData!$AD$30),"")</f>
        <v/>
      </c>
      <c r="AE30" t="str">
        <f ca="1">IFERROR(IF(0=LEN(ReferenceData!$AE$30),"",ReferenceData!$AE$30),"")</f>
        <v/>
      </c>
      <c r="AF30" t="str">
        <f ca="1">IFERROR(IF(0=LEN(ReferenceData!$AF$30),"",ReferenceData!$AF$30),"")</f>
        <v/>
      </c>
      <c r="AG30" t="str">
        <f ca="1">IFERROR(IF(0=LEN(ReferenceData!$AG$30),"",ReferenceData!$AG$30),"")</f>
        <v/>
      </c>
      <c r="AH30" t="str">
        <f ca="1">IFERROR(IF(0=LEN(ReferenceData!$AH$30),"",ReferenceData!$AH$30),"")</f>
        <v/>
      </c>
      <c r="AI30" t="str">
        <f ca="1">IFERROR(IF(0=LEN(ReferenceData!$AI$30),"",ReferenceData!$AI$30),"")</f>
        <v/>
      </c>
      <c r="AJ30" t="str">
        <f ca="1">IFERROR(IF(0=LEN(ReferenceData!$AJ$30),"",ReferenceData!$AJ$30),"")</f>
        <v/>
      </c>
      <c r="AK30" t="str">
        <f ca="1">IFERROR(IF(0=LEN(ReferenceData!$AK$30),"",ReferenceData!$AK$30),"")</f>
        <v/>
      </c>
      <c r="AL30" t="str">
        <f ca="1">IFERROR(IF(0=LEN(ReferenceData!$AL$30),"",ReferenceData!$AL$30),"")</f>
        <v/>
      </c>
      <c r="AM30" t="str">
        <f ca="1">IFERROR(IF(0=LEN(ReferenceData!$AM$30),"",ReferenceData!$AM$30),"")</f>
        <v/>
      </c>
      <c r="AN30" t="str">
        <f ca="1">IFERROR(IF(0=LEN(ReferenceData!$AN$30),"",ReferenceData!$AN$30),"")</f>
        <v/>
      </c>
      <c r="AO30" t="str">
        <f ca="1">IFERROR(IF(0=LEN(ReferenceData!$AO$30),"",ReferenceData!$AO$30),"")</f>
        <v/>
      </c>
      <c r="AP30" t="str">
        <f ca="1">IFERROR(IF(0=LEN(ReferenceData!$AP$30),"",ReferenceData!$AP$30),"")</f>
        <v/>
      </c>
      <c r="AQ30" t="str">
        <f ca="1">IFERROR(IF(0=LEN(ReferenceData!$AQ$30),"",ReferenceData!$AQ$30),"")</f>
        <v/>
      </c>
      <c r="AR30" t="str">
        <f ca="1">IFERROR(IF(0=LEN(ReferenceData!$AR$30),"",ReferenceData!$AR$30),"")</f>
        <v/>
      </c>
      <c r="AS30" t="str">
        <f ca="1">IFERROR(IF(0=LEN(ReferenceData!$AS$30),"",ReferenceData!$AS$30),"")</f>
        <v/>
      </c>
      <c r="AT30" t="str">
        <f ca="1">IFERROR(IF(0=LEN(ReferenceData!$AT$30),"",ReferenceData!$AT$30),"")</f>
        <v/>
      </c>
      <c r="AU30" t="str">
        <f ca="1">IFERROR(IF(0=LEN(ReferenceData!$AU$30),"",ReferenceData!$AU$30),"")</f>
        <v/>
      </c>
      <c r="AV30" t="str">
        <f ca="1">IFERROR(IF(0=LEN(ReferenceData!$AV$30),"",ReferenceData!$AV$30),"")</f>
        <v/>
      </c>
      <c r="AW30" t="str">
        <f ca="1">IFERROR(IF(0=LEN(ReferenceData!$AW$30),"",ReferenceData!$AW$30),"")</f>
        <v/>
      </c>
      <c r="AX30" t="str">
        <f ca="1">IFERROR(IF(0=LEN(ReferenceData!$AX$30),"",ReferenceData!$AX$30),"")</f>
        <v/>
      </c>
      <c r="AY30" t="str">
        <f ca="1">IFERROR(IF(0=LEN(ReferenceData!$AY$30),"",ReferenceData!$AY$30),"")</f>
        <v/>
      </c>
      <c r="AZ30" t="str">
        <f ca="1">IFERROR(IF(0=LEN(ReferenceData!$AZ$30),"",ReferenceData!$AZ$30),"")</f>
        <v/>
      </c>
      <c r="BA30" t="str">
        <f ca="1">IFERROR(IF(0=LEN(ReferenceData!$BA$30),"",ReferenceData!$BA$30),"")</f>
        <v/>
      </c>
      <c r="BB30" t="str">
        <f ca="1">IFERROR(IF(0=LEN(ReferenceData!$BB$30),"",ReferenceData!$BB$30),"")</f>
        <v/>
      </c>
      <c r="BC30" t="str">
        <f ca="1">IFERROR(IF(0=LEN(ReferenceData!$BC$30),"",ReferenceData!$BC$30),"")</f>
        <v/>
      </c>
      <c r="BD30" t="str">
        <f ca="1">IFERROR(IF(0=LEN(ReferenceData!$BD$30),"",ReferenceData!$BD$30),"")</f>
        <v/>
      </c>
      <c r="BE30" t="str">
        <f ca="1">IFERROR(IF(0=LEN(ReferenceData!$BE$30),"",ReferenceData!$BE$30),"")</f>
        <v/>
      </c>
      <c r="BF30" t="str">
        <f ca="1">IFERROR(IF(0=LEN(ReferenceData!$BF$30),"",ReferenceData!$BF$30),"")</f>
        <v/>
      </c>
      <c r="BG30" t="str">
        <f ca="1">IFERROR(IF(0=LEN(ReferenceData!$BG$30),"",ReferenceData!$BG$30),"")</f>
        <v/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>
      <c r="A31" t="str">
        <f>IFERROR(IF(0=LEN(ReferenceData!$A$31),"",ReferenceData!$A$31),"")</f>
        <v xml:space="preserve">    Fifth Third Bancorp</v>
      </c>
      <c r="B31" t="str">
        <f>IFERROR(IF(0=LEN(ReferenceData!$B$31),"",ReferenceData!$B$31),"")</f>
        <v>FITB US Equity</v>
      </c>
      <c r="C31" t="str">
        <f>IFERROR(IF(0=LEN(ReferenceData!$C$31),"",ReferenceData!$C$31),"")</f>
        <v>A0621</v>
      </c>
      <c r="D31" t="str">
        <f>IFERROR(IF(0=LEN(ReferenceData!$D$31),"",ReferenceData!$D$31),"")</f>
        <v>ARD_MORTGAGE_BANKING_REVENUE</v>
      </c>
      <c r="E31" t="str">
        <f>IFERROR(IF(0=LEN(ReferenceData!$E$31),"",ReferenceData!$E$31),"")</f>
        <v>Dynamic</v>
      </c>
      <c r="F31">
        <f ca="1">IFERROR(IF(0=LEN(ReferenceData!$F$31),"",ReferenceData!$F$31),"")</f>
        <v>57</v>
      </c>
      <c r="G31">
        <f ca="1">IFERROR(IF(0=LEN(ReferenceData!$G$31),"",ReferenceData!$G$31),"")</f>
        <v>50</v>
      </c>
      <c r="H31">
        <f ca="1">IFERROR(IF(0=LEN(ReferenceData!$H$31),"",ReferenceData!$H$31),"")</f>
        <v>50</v>
      </c>
      <c r="I31">
        <f ca="1">IFERROR(IF(0=LEN(ReferenceData!$I$31),"",ReferenceData!$I$31),"")</f>
        <v>54</v>
      </c>
      <c r="J31">
        <f ca="1">IFERROR(IF(0=LEN(ReferenceData!$J$31),"",ReferenceData!$J$31),"")</f>
        <v>66</v>
      </c>
      <c r="K31">
        <f ca="1">IFERROR(IF(0=LEN(ReferenceData!$K$31),"",ReferenceData!$K$31),"")</f>
        <v>57</v>
      </c>
      <c r="L31">
        <f ca="1">IFERROR(IF(0=LEN(ReferenceData!$L$31),"",ReferenceData!$L$31),"")</f>
        <v>59</v>
      </c>
      <c r="M31">
        <f ca="1">IFERROR(IF(0=LEN(ReferenceData!$M$31),"",ReferenceData!$M$31),"")</f>
        <v>69</v>
      </c>
      <c r="N31">
        <f ca="1">IFERROR(IF(0=LEN(ReferenceData!$N$31),"",ReferenceData!$N$31),"")</f>
        <v>63</v>
      </c>
      <c r="O31">
        <f ca="1">IFERROR(IF(0=LEN(ReferenceData!$O$31),"",ReferenceData!$O$31),"")</f>
        <v>69</v>
      </c>
      <c r="P31">
        <f ca="1">IFERROR(IF(0=LEN(ReferenceData!$P$31),"",ReferenceData!$P$31),"")</f>
        <v>31</v>
      </c>
      <c r="Q31">
        <f ca="1">IFERROR(IF(0=LEN(ReferenceData!$Q$31),"",ReferenceData!$Q$31),"")</f>
        <v>52</v>
      </c>
      <c r="R31">
        <f ca="1">IFERROR(IF(0=LEN(ReferenceData!$R$31),"",ReferenceData!$R$31),"")</f>
        <v>35</v>
      </c>
      <c r="S31">
        <f ca="1">IFERROR(IF(0=LEN(ReferenceData!$S$31),"",ReferenceData!$S$31),"")</f>
        <v>86</v>
      </c>
      <c r="T31">
        <f ca="1">IFERROR(IF(0=LEN(ReferenceData!$T$31),"",ReferenceData!$T$31),"")</f>
        <v>64</v>
      </c>
      <c r="U31">
        <f ca="1">IFERROR(IF(0=LEN(ReferenceData!$U$31),"",ReferenceData!$U$31),"")</f>
        <v>85</v>
      </c>
      <c r="V31">
        <f ca="1">IFERROR(IF(0=LEN(ReferenceData!$V$31),"",ReferenceData!$V$31),"")</f>
        <v>25</v>
      </c>
      <c r="W31">
        <f ca="1">IFERROR(IF(0=LEN(ReferenceData!$W$31),"",ReferenceData!$W$31),"")</f>
        <v>76</v>
      </c>
      <c r="X31">
        <f ca="1">IFERROR(IF(0=LEN(ReferenceData!$X$31),"",ReferenceData!$X$31),"")</f>
        <v>99</v>
      </c>
      <c r="Y31">
        <f ca="1">IFERROR(IF(0=LEN(ReferenceData!$Y$31),"",ReferenceData!$Y$31),"")</f>
        <v>120</v>
      </c>
      <c r="Z31">
        <f ca="1">IFERROR(IF(0=LEN(ReferenceData!$Z$31),"",ReferenceData!$Z$31),"")</f>
        <v>73</v>
      </c>
      <c r="AA31">
        <f ca="1">IFERROR(IF(0=LEN(ReferenceData!$AA$31),"",ReferenceData!$AA$31),"")</f>
        <v>95</v>
      </c>
      <c r="AB31">
        <f ca="1">IFERROR(IF(0=LEN(ReferenceData!$AB$31),"",ReferenceData!$AB$31),"")</f>
        <v>63</v>
      </c>
      <c r="AC31">
        <f ca="1">IFERROR(IF(0=LEN(ReferenceData!$AC$31),"",ReferenceData!$AC$31),"")</f>
        <v>56</v>
      </c>
      <c r="AD31">
        <f ca="1">IFERROR(IF(0=LEN(ReferenceData!$AD$31),"",ReferenceData!$AD$31),"")</f>
        <v>54</v>
      </c>
      <c r="AE31">
        <f ca="1">IFERROR(IF(0=LEN(ReferenceData!$AE$31),"",ReferenceData!$AE$31),"")</f>
        <v>49</v>
      </c>
      <c r="AF31">
        <f ca="1">IFERROR(IF(0=LEN(ReferenceData!$AF$31),"",ReferenceData!$AF$31),"")</f>
        <v>53</v>
      </c>
      <c r="AG31">
        <f ca="1">IFERROR(IF(0=LEN(ReferenceData!$AG$31),"",ReferenceData!$AG$31),"")</f>
        <v>56</v>
      </c>
      <c r="AH31">
        <f ca="1">IFERROR(IF(0=LEN(ReferenceData!$AH$31),"",ReferenceData!$AH$31),"")</f>
        <v>54</v>
      </c>
      <c r="AI31">
        <f ca="1">IFERROR(IF(0=LEN(ReferenceData!$AI$31),"",ReferenceData!$AI$31),"")</f>
        <v>63</v>
      </c>
      <c r="AJ31">
        <f ca="1">IFERROR(IF(0=LEN(ReferenceData!$AJ$31),"",ReferenceData!$AJ$31),"")</f>
        <v>55</v>
      </c>
      <c r="AK31">
        <f ca="1">IFERROR(IF(0=LEN(ReferenceData!$AK$31),"",ReferenceData!$AK$31),"")</f>
        <v>52</v>
      </c>
      <c r="AL31">
        <f ca="1">IFERROR(IF(0=LEN(ReferenceData!$AL$31),"",ReferenceData!$AL$31),"")</f>
        <v>65</v>
      </c>
      <c r="AM31">
        <f ca="1">IFERROR(IF(0=LEN(ReferenceData!$AM$31),"",ReferenceData!$AM$31),"")</f>
        <v>66</v>
      </c>
      <c r="AN31">
        <f ca="1">IFERROR(IF(0=LEN(ReferenceData!$AN$31),"",ReferenceData!$AN$31),"")</f>
        <v>75</v>
      </c>
      <c r="AO31">
        <f ca="1">IFERROR(IF(0=LEN(ReferenceData!$AO$31),"",ReferenceData!$AO$31),"")</f>
        <v>78</v>
      </c>
      <c r="AP31">
        <f ca="1">IFERROR(IF(0=LEN(ReferenceData!$AP$31),"",ReferenceData!$AP$31),"")</f>
        <v>74</v>
      </c>
      <c r="AQ31">
        <f ca="1">IFERROR(IF(0=LEN(ReferenceData!$AQ$31),"",ReferenceData!$AQ$31),"")</f>
        <v>71</v>
      </c>
      <c r="AR31">
        <f ca="1">IFERROR(IF(0=LEN(ReferenceData!$AR$31),"",ReferenceData!$AR$31),"")</f>
        <v>117</v>
      </c>
      <c r="AS31">
        <f ca="1">IFERROR(IF(0=LEN(ReferenceData!$AS$31),"",ReferenceData!$AS$31),"")</f>
        <v>86</v>
      </c>
      <c r="AT31">
        <f ca="1">IFERROR(IF(0=LEN(ReferenceData!$AT$31),"",ReferenceData!$AT$31),"")</f>
        <v>61</v>
      </c>
      <c r="AU31">
        <f ca="1">IFERROR(IF(0=LEN(ReferenceData!$AU$31),"",ReferenceData!$AU$31),"")</f>
        <v>61</v>
      </c>
      <c r="AV31">
        <f ca="1">IFERROR(IF(0=LEN(ReferenceData!$AV$31),"",ReferenceData!$AV$31),"")</f>
        <v>78</v>
      </c>
      <c r="AW31">
        <f ca="1">IFERROR(IF(0=LEN(ReferenceData!$AW$31),"",ReferenceData!$AW$31),"")</f>
        <v>109</v>
      </c>
      <c r="AX31">
        <f ca="1">IFERROR(IF(0=LEN(ReferenceData!$AX$31),"",ReferenceData!$AX$31),"")</f>
        <v>126</v>
      </c>
      <c r="AY31">
        <f ca="1">IFERROR(IF(0=LEN(ReferenceData!$AY$31),"",ReferenceData!$AY$31),"")</f>
        <v>121</v>
      </c>
      <c r="AZ31">
        <f ca="1">IFERROR(IF(0=LEN(ReferenceData!$AZ$31),"",ReferenceData!$AZ$31),"")</f>
        <v>233</v>
      </c>
      <c r="BA31">
        <f ca="1">IFERROR(IF(0=LEN(ReferenceData!$BA$31),"",ReferenceData!$BA$31),"")</f>
        <v>220</v>
      </c>
      <c r="BB31">
        <f ca="1">IFERROR(IF(0=LEN(ReferenceData!$BB$31),"",ReferenceData!$BB$31),"")</f>
        <v>258</v>
      </c>
      <c r="BC31">
        <f ca="1">IFERROR(IF(0=LEN(ReferenceData!$BC$31),"",ReferenceData!$BC$31),"")</f>
        <v>200</v>
      </c>
      <c r="BD31">
        <f ca="1">IFERROR(IF(0=LEN(ReferenceData!$BD$31),"",ReferenceData!$BD$31),"")</f>
        <v>183</v>
      </c>
      <c r="BE31">
        <f ca="1">IFERROR(IF(0=LEN(ReferenceData!$BE$31),"",ReferenceData!$BE$31),"")</f>
        <v>204</v>
      </c>
      <c r="BF31">
        <f ca="1">IFERROR(IF(0=LEN(ReferenceData!$BF$31),"",ReferenceData!$BF$31),"")</f>
        <v>156</v>
      </c>
      <c r="BG31">
        <f ca="1">IFERROR(IF(0=LEN(ReferenceData!$BG$31),"",ReferenceData!$BG$31),"")</f>
        <v>178</v>
      </c>
      <c r="BH31">
        <f ca="1">IFERROR(IF(0=LEN(ReferenceData!$BH$31),"",ReferenceData!$BH$31),"")</f>
        <v>162</v>
      </c>
      <c r="BI31">
        <f ca="1">IFERROR(IF(0=LEN(ReferenceData!$BI$31),"",ReferenceData!$BI$31),"")</f>
        <v>102</v>
      </c>
      <c r="BJ31">
        <f ca="1">IFERROR(IF(0=LEN(ReferenceData!$BJ$31),"",ReferenceData!$BJ$31),"")</f>
        <v>149</v>
      </c>
      <c r="BK31">
        <f ca="1">IFERROR(IF(0=LEN(ReferenceData!$BK$31),"",ReferenceData!$BK$31),"")</f>
        <v>232</v>
      </c>
      <c r="BL31">
        <f ca="1">IFERROR(IF(0=LEN(ReferenceData!$BL$31),"",ReferenceData!$BL$31),"")</f>
        <v>114</v>
      </c>
      <c r="BM31" t="str">
        <f ca="1">IFERROR(IF(0=LEN(ReferenceData!$BM$31),"",ReferenceData!$BM$31),"")</f>
        <v/>
      </c>
    </row>
    <row r="32" spans="1:65">
      <c r="A32" t="str">
        <f>IFERROR(IF(0=LEN(ReferenceData!$A$32),"",ReferenceData!$A$32),"")</f>
        <v xml:space="preserve">    First Citizens BancShares Inc/</v>
      </c>
      <c r="B32" t="str">
        <f>IFERROR(IF(0=LEN(ReferenceData!$B$32),"",ReferenceData!$B$32),"")</f>
        <v>FCNCA US Equity</v>
      </c>
      <c r="C32" t="str">
        <f>IFERROR(IF(0=LEN(ReferenceData!$C$32),"",ReferenceData!$C$32),"")</f>
        <v>A0621</v>
      </c>
      <c r="D32" t="str">
        <f>IFERROR(IF(0=LEN(ReferenceData!$D$32),"",ReferenceData!$D$32),"")</f>
        <v>ARD_MORTGAGE_BANKING_REVENUE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 t="str">
        <f ca="1">IFERROR(IF(0=LEN(ReferenceData!$G$32),"",ReferenceData!$G$32),"")</f>
        <v/>
      </c>
      <c r="H32" t="str">
        <f ca="1">IFERROR(IF(0=LEN(ReferenceData!$H$32),"",ReferenceData!$H$32),"")</f>
        <v/>
      </c>
      <c r="I32" t="str">
        <f ca="1">IFERROR(IF(0=LEN(ReferenceData!$I$32),"",ReferenceData!$I$32),"")</f>
        <v/>
      </c>
      <c r="J32" t="str">
        <f ca="1">IFERROR(IF(0=LEN(ReferenceData!$J$32),"",ReferenceData!$J$32),"")</f>
        <v/>
      </c>
      <c r="K32" t="str">
        <f ca="1">IFERROR(IF(0=LEN(ReferenceData!$K$32),"",ReferenceData!$K$32),"")</f>
        <v/>
      </c>
      <c r="L32" t="str">
        <f ca="1">IFERROR(IF(0=LEN(ReferenceData!$L$32),"",ReferenceData!$L$32),"")</f>
        <v/>
      </c>
      <c r="M32" t="str">
        <f ca="1">IFERROR(IF(0=LEN(ReferenceData!$M$32),"",ReferenceData!$M$32),"")</f>
        <v/>
      </c>
      <c r="N32" t="str">
        <f ca="1">IFERROR(IF(0=LEN(ReferenceData!$N$32),"",ReferenceData!$N$32),"")</f>
        <v/>
      </c>
      <c r="O32" t="str">
        <f ca="1">IFERROR(IF(0=LEN(ReferenceData!$O$32),"",ReferenceData!$O$32),"")</f>
        <v/>
      </c>
      <c r="P32" t="str">
        <f ca="1">IFERROR(IF(0=LEN(ReferenceData!$P$32),"",ReferenceData!$P$32),"")</f>
        <v/>
      </c>
      <c r="Q32" t="str">
        <f ca="1">IFERROR(IF(0=LEN(ReferenceData!$Q$32),"",ReferenceData!$Q$32),"")</f>
        <v/>
      </c>
      <c r="R32" t="str">
        <f ca="1">IFERROR(IF(0=LEN(ReferenceData!$R$32),"",ReferenceData!$R$32),"")</f>
        <v/>
      </c>
      <c r="S32" t="str">
        <f ca="1">IFERROR(IF(0=LEN(ReferenceData!$S$32),"",ReferenceData!$S$32),"")</f>
        <v/>
      </c>
      <c r="T32" t="str">
        <f ca="1">IFERROR(IF(0=LEN(ReferenceData!$T$32),"",ReferenceData!$T$32),"")</f>
        <v/>
      </c>
      <c r="U32" t="str">
        <f ca="1">IFERROR(IF(0=LEN(ReferenceData!$U$32),"",ReferenceData!$U$32),"")</f>
        <v/>
      </c>
      <c r="V32" t="str">
        <f ca="1">IFERROR(IF(0=LEN(ReferenceData!$V$32),"",ReferenceData!$V$32),"")</f>
        <v/>
      </c>
      <c r="W32" t="str">
        <f ca="1">IFERROR(IF(0=LEN(ReferenceData!$W$32),"",ReferenceData!$W$32),"")</f>
        <v/>
      </c>
      <c r="X32" t="str">
        <f ca="1">IFERROR(IF(0=LEN(ReferenceData!$X$32),"",ReferenceData!$X$32),"")</f>
        <v/>
      </c>
      <c r="Y32" t="str">
        <f ca="1">IFERROR(IF(0=LEN(ReferenceData!$Y$32),"",ReferenceData!$Y$32),"")</f>
        <v/>
      </c>
      <c r="Z32" t="str">
        <f ca="1">IFERROR(IF(0=LEN(ReferenceData!$Z$32),"",ReferenceData!$Z$32),"")</f>
        <v/>
      </c>
      <c r="AA32" t="str">
        <f ca="1">IFERROR(IF(0=LEN(ReferenceData!$AA$32),"",ReferenceData!$AA$32),"")</f>
        <v/>
      </c>
      <c r="AB32" t="str">
        <f ca="1">IFERROR(IF(0=LEN(ReferenceData!$AB$32),"",ReferenceData!$AB$32),"")</f>
        <v/>
      </c>
      <c r="AC32" t="str">
        <f ca="1">IFERROR(IF(0=LEN(ReferenceData!$AC$32),"",ReferenceData!$AC$32),"")</f>
        <v/>
      </c>
      <c r="AD32" t="str">
        <f ca="1">IFERROR(IF(0=LEN(ReferenceData!$AD$32),"",ReferenceData!$AD$32),"")</f>
        <v/>
      </c>
      <c r="AE32" t="str">
        <f ca="1">IFERROR(IF(0=LEN(ReferenceData!$AE$32),"",ReferenceData!$AE$32),"")</f>
        <v/>
      </c>
      <c r="AF32" t="str">
        <f ca="1">IFERROR(IF(0=LEN(ReferenceData!$AF$32),"",ReferenceData!$AF$32),"")</f>
        <v/>
      </c>
      <c r="AG32" t="str">
        <f ca="1">IFERROR(IF(0=LEN(ReferenceData!$AG$32),"",ReferenceData!$AG$32),"")</f>
        <v/>
      </c>
      <c r="AH32" t="str">
        <f ca="1">IFERROR(IF(0=LEN(ReferenceData!$AH$32),"",ReferenceData!$AH$32),"")</f>
        <v/>
      </c>
      <c r="AI32" t="str">
        <f ca="1">IFERROR(IF(0=LEN(ReferenceData!$AI$32),"",ReferenceData!$AI$32),"")</f>
        <v/>
      </c>
      <c r="AJ32" t="str">
        <f ca="1">IFERROR(IF(0=LEN(ReferenceData!$AJ$32),"",ReferenceData!$AJ$32),"")</f>
        <v/>
      </c>
      <c r="AK32" t="str">
        <f ca="1">IFERROR(IF(0=LEN(ReferenceData!$AK$32),"",ReferenceData!$AK$32),"")</f>
        <v/>
      </c>
      <c r="AL32" t="str">
        <f ca="1">IFERROR(IF(0=LEN(ReferenceData!$AL$32),"",ReferenceData!$AL$32),"")</f>
        <v/>
      </c>
      <c r="AM32" t="str">
        <f ca="1">IFERROR(IF(0=LEN(ReferenceData!$AM$32),"",ReferenceData!$AM$32),"")</f>
        <v/>
      </c>
      <c r="AN32" t="str">
        <f ca="1">IFERROR(IF(0=LEN(ReferenceData!$AN$32),"",ReferenceData!$AN$32),"")</f>
        <v/>
      </c>
      <c r="AO32" t="str">
        <f ca="1">IFERROR(IF(0=LEN(ReferenceData!$AO$32),"",ReferenceData!$AO$32),"")</f>
        <v/>
      </c>
      <c r="AP32" t="str">
        <f ca="1">IFERROR(IF(0=LEN(ReferenceData!$AP$32),"",ReferenceData!$AP$32),"")</f>
        <v/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  <c r="AT32" t="str">
        <f ca="1">IFERROR(IF(0=LEN(ReferenceData!$AT$32),"",ReferenceData!$AT$32),"")</f>
        <v/>
      </c>
      <c r="AU32" t="str">
        <f ca="1">IFERROR(IF(0=LEN(ReferenceData!$AU$32),"",ReferenceData!$AU$32),"")</f>
        <v/>
      </c>
      <c r="AV32" t="str">
        <f ca="1">IFERROR(IF(0=LEN(ReferenceData!$AV$32),"",ReferenceData!$AV$32),"")</f>
        <v/>
      </c>
      <c r="AW32" t="str">
        <f ca="1">IFERROR(IF(0=LEN(ReferenceData!$AW$32),"",ReferenceData!$AW$32),"")</f>
        <v/>
      </c>
      <c r="AX32" t="str">
        <f ca="1">IFERROR(IF(0=LEN(ReferenceData!$AX$32),"",ReferenceData!$AX$32),"")</f>
        <v/>
      </c>
      <c r="AY32" t="str">
        <f ca="1">IFERROR(IF(0=LEN(ReferenceData!$AY$32),"",ReferenceData!$AY$32),"")</f>
        <v/>
      </c>
      <c r="AZ32" t="str">
        <f ca="1">IFERROR(IF(0=LEN(ReferenceData!$AZ$32),"",ReferenceData!$AZ$32),"")</f>
        <v/>
      </c>
      <c r="BA32" t="str">
        <f ca="1">IFERROR(IF(0=LEN(ReferenceData!$BA$32),"",ReferenceData!$BA$32),"")</f>
        <v/>
      </c>
      <c r="BB32" t="str">
        <f ca="1">IFERROR(IF(0=LEN(ReferenceData!$BB$32),"",ReferenceData!$BB$32),"")</f>
        <v/>
      </c>
      <c r="BC32" t="str">
        <f ca="1">IFERROR(IF(0=LEN(ReferenceData!$BC$32),"",ReferenceData!$BC$32),"")</f>
        <v/>
      </c>
      <c r="BD32" t="str">
        <f ca="1">IFERROR(IF(0=LEN(ReferenceData!$BD$32),"",ReferenceData!$BD$32),"")</f>
        <v/>
      </c>
      <c r="BE32" t="str">
        <f ca="1">IFERROR(IF(0=LEN(ReferenceData!$BE$32),"",ReferenceData!$BE$32),"")</f>
        <v/>
      </c>
      <c r="BF32" t="str">
        <f ca="1">IFERROR(IF(0=LEN(ReferenceData!$BF$32),"",ReferenceData!$BF$32),"")</f>
        <v/>
      </c>
      <c r="BG32" t="str">
        <f ca="1">IFERROR(IF(0=LEN(ReferenceData!$BG$32),"",ReferenceData!$BG$32),"")</f>
        <v/>
      </c>
      <c r="BH32" t="str">
        <f ca="1">IFERROR(IF(0=LEN(ReferenceData!$BH$32),"",ReferenceData!$BH$32),"")</f>
        <v/>
      </c>
      <c r="BI32" t="str">
        <f ca="1">IFERROR(IF(0=LEN(ReferenceData!$BI$32),"",ReferenceData!$BI$32),"")</f>
        <v/>
      </c>
      <c r="BJ32" t="str">
        <f ca="1">IFERROR(IF(0=LEN(ReferenceData!$BJ$32),"",ReferenceData!$BJ$32),"")</f>
        <v/>
      </c>
      <c r="BK32" t="str">
        <f ca="1">IFERROR(IF(0=LEN(ReferenceData!$BK$32),"",ReferenceData!$BK$32),"")</f>
        <v/>
      </c>
      <c r="BL32" t="str">
        <f ca="1">IFERROR(IF(0=LEN(ReferenceData!$BL$32),"",ReferenceData!$BL$32),"")</f>
        <v/>
      </c>
      <c r="BM32" t="str">
        <f ca="1">IFERROR(IF(0=LEN(ReferenceData!$BM$32),"",ReferenceData!$BM$32),"")</f>
        <v/>
      </c>
    </row>
    <row r="33" spans="1:65">
      <c r="A33" t="str">
        <f>IFERROR(IF(0=LEN(ReferenceData!$A$33),"",ReferenceData!$A$33),"")</f>
        <v xml:space="preserve">    Flagstar Financial Inc</v>
      </c>
      <c r="B33" t="str">
        <f>IFERROR(IF(0=LEN(ReferenceData!$B$33),"",ReferenceData!$B$33),"")</f>
        <v>FLG US Equity</v>
      </c>
      <c r="C33" t="str">
        <f>IFERROR(IF(0=LEN(ReferenceData!$C$33),"",ReferenceData!$C$33),"")</f>
        <v>A0621</v>
      </c>
      <c r="D33" t="str">
        <f>IFERROR(IF(0=LEN(ReferenceData!$D$33),"",ReferenceData!$D$33),"")</f>
        <v>ARD_MORTGAGE_BANKING_REVENUE</v>
      </c>
      <c r="E33" t="str">
        <f>IFERROR(IF(0=LEN(ReferenceData!$E$33),"",ReferenceData!$E$33),"")</f>
        <v>Dynamic</v>
      </c>
      <c r="F33" t="str">
        <f ca="1">IFERROR(IF(0=LEN(ReferenceData!$F$33),"",ReferenceData!$F$33),"")</f>
        <v/>
      </c>
      <c r="G33">
        <f ca="1">IFERROR(IF(0=LEN(ReferenceData!$G$33),"",ReferenceData!$G$33),"")</f>
        <v>34</v>
      </c>
      <c r="H33">
        <f ca="1">IFERROR(IF(0=LEN(ReferenceData!$H$33),"",ReferenceData!$H$33),"")</f>
        <v>19</v>
      </c>
      <c r="I33">
        <f ca="1">IFERROR(IF(0=LEN(ReferenceData!$I$33),"",ReferenceData!$I$33),"")</f>
        <v>21</v>
      </c>
      <c r="J33" t="str">
        <f ca="1">IFERROR(IF(0=LEN(ReferenceData!$J$33),"",ReferenceData!$J$33),"")</f>
        <v/>
      </c>
      <c r="K33">
        <f ca="1">IFERROR(IF(0=LEN(ReferenceData!$K$33),"",ReferenceData!$K$33),"")</f>
        <v>23</v>
      </c>
      <c r="L33">
        <f ca="1">IFERROR(IF(0=LEN(ReferenceData!$L$33),"",ReferenceData!$L$33),"")</f>
        <v>25</v>
      </c>
      <c r="M33">
        <f ca="1">IFERROR(IF(0=LEN(ReferenceData!$M$33),"",ReferenceData!$M$33),"")</f>
        <v>22</v>
      </c>
      <c r="N33">
        <f ca="1">IFERROR(IF(0=LEN(ReferenceData!$N$33),"",ReferenceData!$N$33),"")</f>
        <v>6</v>
      </c>
      <c r="O33" t="str">
        <f ca="1">IFERROR(IF(0=LEN(ReferenceData!$O$33),"",ReferenceData!$O$33),"")</f>
        <v/>
      </c>
      <c r="P33" t="str">
        <f ca="1">IFERROR(IF(0=LEN(ReferenceData!$P$33),"",ReferenceData!$P$33),"")</f>
        <v/>
      </c>
      <c r="Q33" t="str">
        <f ca="1">IFERROR(IF(0=LEN(ReferenceData!$Q$33),"",ReferenceData!$Q$33),"")</f>
        <v/>
      </c>
      <c r="R33" t="str">
        <f ca="1">IFERROR(IF(0=LEN(ReferenceData!$R$33),"",ReferenceData!$R$33),"")</f>
        <v/>
      </c>
      <c r="S33" t="str">
        <f ca="1">IFERROR(IF(0=LEN(ReferenceData!$S$33),"",ReferenceData!$S$33),"")</f>
        <v/>
      </c>
      <c r="T33" t="str">
        <f ca="1">IFERROR(IF(0=LEN(ReferenceData!$T$33),"",ReferenceData!$T$33),"")</f>
        <v/>
      </c>
      <c r="U33" t="str">
        <f ca="1">IFERROR(IF(0=LEN(ReferenceData!$U$33),"",ReferenceData!$U$33),"")</f>
        <v/>
      </c>
      <c r="V33">
        <f ca="1">IFERROR(IF(0=LEN(ReferenceData!$V$33),"",ReferenceData!$V$33),"")</f>
        <v>0</v>
      </c>
      <c r="W33" t="str">
        <f ca="1">IFERROR(IF(0=LEN(ReferenceData!$W$33),"",ReferenceData!$W$33),"")</f>
        <v/>
      </c>
      <c r="X33" t="str">
        <f ca="1">IFERROR(IF(0=LEN(ReferenceData!$X$33),"",ReferenceData!$X$33),"")</f>
        <v/>
      </c>
      <c r="Y33" t="str">
        <f ca="1">IFERROR(IF(0=LEN(ReferenceData!$Y$33),"",ReferenceData!$Y$33),"")</f>
        <v/>
      </c>
      <c r="Z33">
        <f ca="1">IFERROR(IF(0=LEN(ReferenceData!$Z$33),"",ReferenceData!$Z$33),"")</f>
        <v>0</v>
      </c>
      <c r="AA33" t="str">
        <f ca="1">IFERROR(IF(0=LEN(ReferenceData!$AA$33),"",ReferenceData!$AA$33),"")</f>
        <v/>
      </c>
      <c r="AB33">
        <f ca="1">IFERROR(IF(0=LEN(ReferenceData!$AB$33),"",ReferenceData!$AB$33),"")</f>
        <v>0</v>
      </c>
      <c r="AC33" t="str">
        <f ca="1">IFERROR(IF(0=LEN(ReferenceData!$AC$33),"",ReferenceData!$AC$33),"")</f>
        <v/>
      </c>
      <c r="AD33">
        <f ca="1">IFERROR(IF(0=LEN(ReferenceData!$AD$33),"",ReferenceData!$AD$33),"")</f>
        <v>0</v>
      </c>
      <c r="AE33">
        <f ca="1">IFERROR(IF(0=LEN(ReferenceData!$AE$33),"",ReferenceData!$AE$33),"")</f>
        <v>0</v>
      </c>
      <c r="AF33">
        <f ca="1">IFERROR(IF(0=LEN(ReferenceData!$AF$33),"",ReferenceData!$AF$33),"")</f>
        <v>0</v>
      </c>
      <c r="AG33">
        <f ca="1">IFERROR(IF(0=LEN(ReferenceData!$AG$33),"",ReferenceData!$AG$33),"")</f>
        <v>0</v>
      </c>
      <c r="AH33">
        <f ca="1">IFERROR(IF(0=LEN(ReferenceData!$AH$33),"",ReferenceData!$AH$33),"")</f>
        <v>0</v>
      </c>
      <c r="AI33">
        <f ca="1">IFERROR(IF(0=LEN(ReferenceData!$AI$33),"",ReferenceData!$AI$33),"")</f>
        <v>1.486</v>
      </c>
      <c r="AJ33">
        <f ca="1">IFERROR(IF(0=LEN(ReferenceData!$AJ$33),"",ReferenceData!$AJ$33),"")</f>
        <v>8.1959999999999997</v>
      </c>
      <c r="AK33">
        <f ca="1">IFERROR(IF(0=LEN(ReferenceData!$AK$33),"",ReferenceData!$AK$33),"")</f>
        <v>9.7639999999999993</v>
      </c>
      <c r="AL33">
        <f ca="1">IFERROR(IF(0=LEN(ReferenceData!$AL$33),"",ReferenceData!$AL$33),"")</f>
        <v>3.2610000000000001</v>
      </c>
      <c r="AM33">
        <f ca="1">IFERROR(IF(0=LEN(ReferenceData!$AM$33),"",ReferenceData!$AM$33),"")</f>
        <v>12.925000000000001</v>
      </c>
      <c r="AN33">
        <f ca="1">IFERROR(IF(0=LEN(ReferenceData!$AN$33),"",ReferenceData!$AN$33),"")</f>
        <v>6.9569999999999999</v>
      </c>
      <c r="AO33">
        <f ca="1">IFERROR(IF(0=LEN(ReferenceData!$AO$33),"",ReferenceData!$AO$33),"")</f>
        <v>4.1379999999999999</v>
      </c>
      <c r="AP33">
        <f ca="1">IFERROR(IF(0=LEN(ReferenceData!$AP$33),"",ReferenceData!$AP$33),"")</f>
        <v>12.265000000000001</v>
      </c>
      <c r="AQ33">
        <f ca="1">IFERROR(IF(0=LEN(ReferenceData!$AQ$33),"",ReferenceData!$AQ$33),"")</f>
        <v>7.4740000000000002</v>
      </c>
      <c r="AR33">
        <f ca="1">IFERROR(IF(0=LEN(ReferenceData!$AR$33),"",ReferenceData!$AR$33),"")</f>
        <v>15.968</v>
      </c>
      <c r="AS33">
        <f ca="1">IFERROR(IF(0=LEN(ReferenceData!$AS$33),"",ReferenceData!$AS$33),"")</f>
        <v>18.405999999999999</v>
      </c>
      <c r="AT33">
        <f ca="1">IFERROR(IF(0=LEN(ReferenceData!$AT$33),"",ReferenceData!$AT$33),"")</f>
        <v>16.446000000000002</v>
      </c>
      <c r="AU33">
        <f ca="1">IFERROR(IF(0=LEN(ReferenceData!$AU$33),"",ReferenceData!$AU$33),"")</f>
        <v>16.606000000000002</v>
      </c>
      <c r="AV33">
        <f ca="1">IFERROR(IF(0=LEN(ReferenceData!$AV$33),"",ReferenceData!$AV$33),"")</f>
        <v>15.291</v>
      </c>
      <c r="AW33">
        <f ca="1">IFERROR(IF(0=LEN(ReferenceData!$AW$33),"",ReferenceData!$AW$33),"")</f>
        <v>14.61</v>
      </c>
      <c r="AX33">
        <f ca="1">IFERROR(IF(0=LEN(ReferenceData!$AX$33),"",ReferenceData!$AX$33),"")</f>
        <v>12.753</v>
      </c>
      <c r="AY33">
        <f ca="1">IFERROR(IF(0=LEN(ReferenceData!$AY$33),"",ReferenceData!$AY$33),"")</f>
        <v>16.204999999999998</v>
      </c>
      <c r="AZ33">
        <f ca="1">IFERROR(IF(0=LEN(ReferenceData!$AZ$33),"",ReferenceData!$AZ$33),"")</f>
        <v>23.216000000000001</v>
      </c>
      <c r="BA33">
        <f ca="1">IFERROR(IF(0=LEN(ReferenceData!$BA$33),"",ReferenceData!$BA$33),"")</f>
        <v>26.109000000000002</v>
      </c>
      <c r="BB33">
        <f ca="1">IFERROR(IF(0=LEN(ReferenceData!$BB$33),"",ReferenceData!$BB$33),"")</f>
        <v>32.573999999999998</v>
      </c>
      <c r="BC33">
        <f ca="1">IFERROR(IF(0=LEN(ReferenceData!$BC$33),"",ReferenceData!$BC$33),"")</f>
        <v>52.581000000000003</v>
      </c>
      <c r="BD33">
        <f ca="1">IFERROR(IF(0=LEN(ReferenceData!$BD$33),"",ReferenceData!$BD$33),"")</f>
        <v>58.323</v>
      </c>
      <c r="BE33">
        <f ca="1">IFERROR(IF(0=LEN(ReferenceData!$BE$33),"",ReferenceData!$BE$33),"")</f>
        <v>35.164999999999999</v>
      </c>
      <c r="BF33">
        <f ca="1">IFERROR(IF(0=LEN(ReferenceData!$BF$33),"",ReferenceData!$BF$33),"")</f>
        <v>24.687999999999999</v>
      </c>
      <c r="BG33">
        <f ca="1">IFERROR(IF(0=LEN(ReferenceData!$BG$33),"",ReferenceData!$BG$33),"")</f>
        <v>24.274000000000001</v>
      </c>
      <c r="BH33">
        <f ca="1">IFERROR(IF(0=LEN(ReferenceData!$BH$33),"",ReferenceData!$BH$33),"")</f>
        <v>11.773999999999999</v>
      </c>
      <c r="BI33">
        <f ca="1">IFERROR(IF(0=LEN(ReferenceData!$BI$33),"",ReferenceData!$BI$33),"")</f>
        <v>19.937999999999999</v>
      </c>
      <c r="BJ33">
        <f ca="1">IFERROR(IF(0=LEN(ReferenceData!$BJ$33),"",ReferenceData!$BJ$33),"")</f>
        <v>40.386000000000003</v>
      </c>
      <c r="BK33">
        <f ca="1">IFERROR(IF(0=LEN(ReferenceData!$BK$33),"",ReferenceData!$BK$33),"")</f>
        <v>76.465000000000003</v>
      </c>
      <c r="BL33">
        <f ca="1">IFERROR(IF(0=LEN(ReferenceData!$BL$33),"",ReferenceData!$BL$33),"")</f>
        <v>39.499000000000002</v>
      </c>
      <c r="BM33" t="str">
        <f ca="1">IFERROR(IF(0=LEN(ReferenceData!$BM$33),"",ReferenceData!$BM$33),"")</f>
        <v/>
      </c>
    </row>
    <row r="34" spans="1:65">
      <c r="A34" t="str">
        <f>IFERROR(IF(0=LEN(ReferenceData!$A$34),"",ReferenceData!$A$34),"")</f>
        <v xml:space="preserve">    Huntington Bancshares Inc/OH</v>
      </c>
      <c r="B34" t="str">
        <f>IFERROR(IF(0=LEN(ReferenceData!$B$34),"",ReferenceData!$B$34),"")</f>
        <v>HBAN US Equity</v>
      </c>
      <c r="C34" t="str">
        <f>IFERROR(IF(0=LEN(ReferenceData!$C$34),"",ReferenceData!$C$34),"")</f>
        <v>A0621</v>
      </c>
      <c r="D34" t="str">
        <f>IFERROR(IF(0=LEN(ReferenceData!$D$34),"",ReferenceData!$D$34),"")</f>
        <v>ARD_MORTGAGE_BANKING_REVENUE</v>
      </c>
      <c r="E34" t="str">
        <f>IFERROR(IF(0=LEN(ReferenceData!$E$34),"",ReferenceData!$E$34),"")</f>
        <v>Dynamic</v>
      </c>
      <c r="F34">
        <f ca="1">IFERROR(IF(0=LEN(ReferenceData!$F$34),"",ReferenceData!$F$34),"")</f>
        <v>31</v>
      </c>
      <c r="G34">
        <f ca="1">IFERROR(IF(0=LEN(ReferenceData!$G$34),"",ReferenceData!$G$34),"")</f>
        <v>38</v>
      </c>
      <c r="H34">
        <f ca="1">IFERROR(IF(0=LEN(ReferenceData!$H$34),"",ReferenceData!$H$34),"")</f>
        <v>30</v>
      </c>
      <c r="I34">
        <f ca="1">IFERROR(IF(0=LEN(ReferenceData!$I$34),"",ReferenceData!$I$34),"")</f>
        <v>31</v>
      </c>
      <c r="J34">
        <f ca="1">IFERROR(IF(0=LEN(ReferenceData!$J$34),"",ReferenceData!$J$34),"")</f>
        <v>23</v>
      </c>
      <c r="K34">
        <f ca="1">IFERROR(IF(0=LEN(ReferenceData!$K$34),"",ReferenceData!$K$34),"")</f>
        <v>27</v>
      </c>
      <c r="L34">
        <f ca="1">IFERROR(IF(0=LEN(ReferenceData!$L$34),"",ReferenceData!$L$34),"")</f>
        <v>33</v>
      </c>
      <c r="M34">
        <f ca="1">IFERROR(IF(0=LEN(ReferenceData!$M$34),"",ReferenceData!$M$34),"")</f>
        <v>26</v>
      </c>
      <c r="N34">
        <f ca="1">IFERROR(IF(0=LEN(ReferenceData!$N$34),"",ReferenceData!$N$34),"")</f>
        <v>25</v>
      </c>
      <c r="O34">
        <f ca="1">IFERROR(IF(0=LEN(ReferenceData!$O$34),"",ReferenceData!$O$34),"")</f>
        <v>26</v>
      </c>
      <c r="P34">
        <f ca="1">IFERROR(IF(0=LEN(ReferenceData!$P$34),"",ReferenceData!$P$34),"")</f>
        <v>44</v>
      </c>
      <c r="Q34">
        <f ca="1">IFERROR(IF(0=LEN(ReferenceData!$Q$34),"",ReferenceData!$Q$34),"")</f>
        <v>49</v>
      </c>
      <c r="R34">
        <f ca="1">IFERROR(IF(0=LEN(ReferenceData!$R$34),"",ReferenceData!$R$34),"")</f>
        <v>61</v>
      </c>
      <c r="S34">
        <f ca="1">IFERROR(IF(0=LEN(ReferenceData!$S$34),"",ReferenceData!$S$34),"")</f>
        <v>81</v>
      </c>
      <c r="T34">
        <f ca="1">IFERROR(IF(0=LEN(ReferenceData!$T$34),"",ReferenceData!$T$34),"")</f>
        <v>67</v>
      </c>
      <c r="U34">
        <f ca="1">IFERROR(IF(0=LEN(ReferenceData!$U$34),"",ReferenceData!$U$34),"")</f>
        <v>100</v>
      </c>
      <c r="V34">
        <f ca="1">IFERROR(IF(0=LEN(ReferenceData!$V$34),"",ReferenceData!$V$34),"")</f>
        <v>90</v>
      </c>
      <c r="W34">
        <f ca="1">IFERROR(IF(0=LEN(ReferenceData!$W$34),"",ReferenceData!$W$34),"")</f>
        <v>122</v>
      </c>
      <c r="X34">
        <f ca="1">IFERROR(IF(0=LEN(ReferenceData!$X$34),"",ReferenceData!$X$34),"")</f>
        <v>96</v>
      </c>
      <c r="Y34">
        <f ca="1">IFERROR(IF(0=LEN(ReferenceData!$Y$34),"",ReferenceData!$Y$34),"")</f>
        <v>58</v>
      </c>
      <c r="Z34">
        <f ca="1">IFERROR(IF(0=LEN(ReferenceData!$Z$34),"",ReferenceData!$Z$34),"")</f>
        <v>58</v>
      </c>
      <c r="AA34">
        <f ca="1">IFERROR(IF(0=LEN(ReferenceData!$AA$34),"",ReferenceData!$AA$34),"")</f>
        <v>54</v>
      </c>
      <c r="AB34">
        <f ca="1">IFERROR(IF(0=LEN(ReferenceData!$AB$34),"",ReferenceData!$AB$34),"")</f>
        <v>34</v>
      </c>
      <c r="AC34">
        <f ca="1">IFERROR(IF(0=LEN(ReferenceData!$AC$34),"",ReferenceData!$AC$34),"")</f>
        <v>21</v>
      </c>
      <c r="AD34">
        <f ca="1">IFERROR(IF(0=LEN(ReferenceData!$AD$34),"",ReferenceData!$AD$34),"")</f>
        <v>23</v>
      </c>
      <c r="AE34">
        <f ca="1">IFERROR(IF(0=LEN(ReferenceData!$AE$34),"",ReferenceData!$AE$34),"")</f>
        <v>31</v>
      </c>
      <c r="AF34">
        <f ca="1">IFERROR(IF(0=LEN(ReferenceData!$AF$34),"",ReferenceData!$AF$34),"")</f>
        <v>28</v>
      </c>
      <c r="AG34">
        <f ca="1">IFERROR(IF(0=LEN(ReferenceData!$AG$34),"",ReferenceData!$AG$34),"")</f>
        <v>26</v>
      </c>
      <c r="AH34">
        <f ca="1">IFERROR(IF(0=LEN(ReferenceData!$AH$34),"",ReferenceData!$AH$34),"")</f>
        <v>33</v>
      </c>
      <c r="AI34">
        <f ca="1">IFERROR(IF(0=LEN(ReferenceData!$AI$34),"",ReferenceData!$AI$34),"")</f>
        <v>34</v>
      </c>
      <c r="AJ34">
        <f ca="1">IFERROR(IF(0=LEN(ReferenceData!$AJ$34),"",ReferenceData!$AJ$34),"")</f>
        <v>32</v>
      </c>
      <c r="AK34">
        <f ca="1">IFERROR(IF(0=LEN(ReferenceData!$AK$34),"",ReferenceData!$AK$34),"")</f>
        <v>32</v>
      </c>
      <c r="AL34">
        <f ca="1">IFERROR(IF(0=LEN(ReferenceData!$AL$34),"",ReferenceData!$AL$34),"")</f>
        <v>37.520000000000003</v>
      </c>
      <c r="AM34">
        <f ca="1">IFERROR(IF(0=LEN(ReferenceData!$AM$34),"",ReferenceData!$AM$34),"")</f>
        <v>40.603000000000002</v>
      </c>
      <c r="AN34">
        <f ca="1">IFERROR(IF(0=LEN(ReferenceData!$AN$34),"",ReferenceData!$AN$34),"")</f>
        <v>31.591000000000001</v>
      </c>
      <c r="AO34">
        <f ca="1">IFERROR(IF(0=LEN(ReferenceData!$AO$34),"",ReferenceData!$AO$34),"")</f>
        <v>18.542999999999999</v>
      </c>
      <c r="AP34">
        <f ca="1">IFERROR(IF(0=LEN(ReferenceData!$AP$34),"",ReferenceData!$AP$34),"")</f>
        <v>31.417999999999999</v>
      </c>
      <c r="AQ34">
        <f ca="1">IFERROR(IF(0=LEN(ReferenceData!$AQ$34),"",ReferenceData!$AQ$34),"")</f>
        <v>18.956</v>
      </c>
      <c r="AR34">
        <f ca="1">IFERROR(IF(0=LEN(ReferenceData!$AR$34),"",ReferenceData!$AR$34),"")</f>
        <v>38.518000000000001</v>
      </c>
      <c r="AS34">
        <f ca="1">IFERROR(IF(0=LEN(ReferenceData!$AS$34),"",ReferenceData!$AS$34),"")</f>
        <v>22.960999999999999</v>
      </c>
      <c r="AT34">
        <f ca="1">IFERROR(IF(0=LEN(ReferenceData!$AT$34),"",ReferenceData!$AT$34),"")</f>
        <v>14.03</v>
      </c>
      <c r="AU34">
        <f ca="1">IFERROR(IF(0=LEN(ReferenceData!$AU$34),"",ReferenceData!$AU$34),"")</f>
        <v>25.050999999999998</v>
      </c>
      <c r="AV34">
        <f ca="1">IFERROR(IF(0=LEN(ReferenceData!$AV$34),"",ReferenceData!$AV$34),"")</f>
        <v>22.716999999999999</v>
      </c>
      <c r="AW34">
        <f ca="1">IFERROR(IF(0=LEN(ReferenceData!$AW$34),"",ReferenceData!$AW$34),"")</f>
        <v>23.088999999999999</v>
      </c>
      <c r="AX34">
        <f ca="1">IFERROR(IF(0=LEN(ReferenceData!$AX$34),"",ReferenceData!$AX$34),"")</f>
        <v>24.327000000000002</v>
      </c>
      <c r="AY34">
        <f ca="1">IFERROR(IF(0=LEN(ReferenceData!$AY$34),"",ReferenceData!$AY$34),"")</f>
        <v>23.620999999999999</v>
      </c>
      <c r="AZ34">
        <f ca="1">IFERROR(IF(0=LEN(ReferenceData!$AZ$34),"",ReferenceData!$AZ$34),"")</f>
        <v>33.658999999999999</v>
      </c>
      <c r="BA34">
        <f ca="1">IFERROR(IF(0=LEN(ReferenceData!$BA$34),"",ReferenceData!$BA$34),"")</f>
        <v>45.247999999999998</v>
      </c>
      <c r="BB34">
        <f ca="1">IFERROR(IF(0=LEN(ReferenceData!$BB$34),"",ReferenceData!$BB$34),"")</f>
        <v>61.710999999999999</v>
      </c>
      <c r="BC34">
        <f ca="1">IFERROR(IF(0=LEN(ReferenceData!$BC$34),"",ReferenceData!$BC$34),"")</f>
        <v>44.613999999999997</v>
      </c>
      <c r="BD34">
        <f ca="1">IFERROR(IF(0=LEN(ReferenceData!$BD$34),"",ReferenceData!$BD$34),"")</f>
        <v>38.348999999999997</v>
      </c>
      <c r="BE34">
        <f ca="1">IFERROR(IF(0=LEN(ReferenceData!$BE$34),"",ReferenceData!$BE$34),"")</f>
        <v>46.417999999999999</v>
      </c>
      <c r="BF34">
        <f ca="1">IFERROR(IF(0=LEN(ReferenceData!$BF$34),"",ReferenceData!$BF$34),"")</f>
        <v>24.097999999999999</v>
      </c>
      <c r="BG34">
        <f ca="1">IFERROR(IF(0=LEN(ReferenceData!$BG$34),"",ReferenceData!$BG$34),"")</f>
        <v>12.791</v>
      </c>
      <c r="BH34">
        <f ca="1">IFERROR(IF(0=LEN(ReferenceData!$BH$34),"",ReferenceData!$BH$34),"")</f>
        <v>23.835000000000001</v>
      </c>
      <c r="BI34">
        <f ca="1">IFERROR(IF(0=LEN(ReferenceData!$BI$34),"",ReferenceData!$BI$34),"")</f>
        <v>22.684000000000001</v>
      </c>
      <c r="BJ34">
        <f ca="1">IFERROR(IF(0=LEN(ReferenceData!$BJ$34),"",ReferenceData!$BJ$34),"")</f>
        <v>53.168999999999997</v>
      </c>
      <c r="BK34">
        <f ca="1">IFERROR(IF(0=LEN(ReferenceData!$BK$34),"",ReferenceData!$BK$34),"")</f>
        <v>52.045000000000002</v>
      </c>
      <c r="BL34">
        <f ca="1">IFERROR(IF(0=LEN(ReferenceData!$BL$34),"",ReferenceData!$BL$34),"")</f>
        <v>45.53</v>
      </c>
      <c r="BM34" t="str">
        <f ca="1">IFERROR(IF(0=LEN(ReferenceData!$BM$34),"",ReferenceData!$BM$34),"")</f>
        <v/>
      </c>
    </row>
    <row r="35" spans="1:65">
      <c r="A35" t="str">
        <f>IFERROR(IF(0=LEN(ReferenceData!$A$35),"",ReferenceData!$A$35),"")</f>
        <v xml:space="preserve">    JPMorgan Chase &amp; Co</v>
      </c>
      <c r="B35" t="str">
        <f>IFERROR(IF(0=LEN(ReferenceData!$B$35),"",ReferenceData!$B$35),"")</f>
        <v>JPM US Equity</v>
      </c>
      <c r="C35" t="str">
        <f>IFERROR(IF(0=LEN(ReferenceData!$C$35),"",ReferenceData!$C$35),"")</f>
        <v>A0621</v>
      </c>
      <c r="D35" t="str">
        <f>IFERROR(IF(0=LEN(ReferenceData!$D$35),"",ReferenceData!$D$35),"")</f>
        <v>ARD_MORTGAGE_BANKING_REVENUE</v>
      </c>
      <c r="E35" t="str">
        <f>IFERROR(IF(0=LEN(ReferenceData!$E$35),"",ReferenceData!$E$35),"")</f>
        <v>Dynamic</v>
      </c>
      <c r="F35">
        <f ca="1">IFERROR(IF(0=LEN(ReferenceData!$F$35),"",ReferenceData!$F$35),"")</f>
        <v>376</v>
      </c>
      <c r="G35">
        <f ca="1">IFERROR(IF(0=LEN(ReferenceData!$G$35),"",ReferenceData!$G$35),"")</f>
        <v>402</v>
      </c>
      <c r="H35">
        <f ca="1">IFERROR(IF(0=LEN(ReferenceData!$H$35),"",ReferenceData!$H$35),"")</f>
        <v>348</v>
      </c>
      <c r="I35">
        <f ca="1">IFERROR(IF(0=LEN(ReferenceData!$I$35),"",ReferenceData!$I$35),"")</f>
        <v>275</v>
      </c>
      <c r="J35">
        <f ca="1">IFERROR(IF(0=LEN(ReferenceData!$J$35),"",ReferenceData!$J$35),"")</f>
        <v>263</v>
      </c>
      <c r="K35">
        <f ca="1">IFERROR(IF(0=LEN(ReferenceData!$K$35),"",ReferenceData!$K$35),"")</f>
        <v>414</v>
      </c>
      <c r="L35">
        <f ca="1">IFERROR(IF(0=LEN(ReferenceData!$L$35),"",ReferenceData!$L$35),"")</f>
        <v>278</v>
      </c>
      <c r="M35">
        <f ca="1">IFERROR(IF(0=LEN(ReferenceData!$M$35),"",ReferenceData!$M$35),"")</f>
        <v>221</v>
      </c>
      <c r="N35">
        <f ca="1">IFERROR(IF(0=LEN(ReferenceData!$N$35),"",ReferenceData!$N$35),"")</f>
        <v>98</v>
      </c>
      <c r="O35">
        <f ca="1">IFERROR(IF(0=LEN(ReferenceData!$O$35),"",ReferenceData!$O$35),"")</f>
        <v>314</v>
      </c>
      <c r="P35">
        <f ca="1">IFERROR(IF(0=LEN(ReferenceData!$P$35),"",ReferenceData!$P$35),"")</f>
        <v>378</v>
      </c>
      <c r="Q35">
        <f ca="1">IFERROR(IF(0=LEN(ReferenceData!$Q$35),"",ReferenceData!$Q$35),"")</f>
        <v>460</v>
      </c>
      <c r="R35">
        <f ca="1">IFERROR(IF(0=LEN(ReferenceData!$R$35),"",ReferenceData!$R$35),"")</f>
        <v>315</v>
      </c>
      <c r="S35">
        <f ca="1">IFERROR(IF(0=LEN(ReferenceData!$S$35),"",ReferenceData!$S$35),"")</f>
        <v>600</v>
      </c>
      <c r="T35">
        <f ca="1">IFERROR(IF(0=LEN(ReferenceData!$T$35),"",ReferenceData!$T$35),"")</f>
        <v>551</v>
      </c>
      <c r="U35">
        <f ca="1">IFERROR(IF(0=LEN(ReferenceData!$U$35),"",ReferenceData!$U$35),"")</f>
        <v>704</v>
      </c>
      <c r="V35">
        <f ca="1">IFERROR(IF(0=LEN(ReferenceData!$V$35),"",ReferenceData!$V$35),"")</f>
        <v>767</v>
      </c>
      <c r="W35">
        <f ca="1">IFERROR(IF(0=LEN(ReferenceData!$W$35),"",ReferenceData!$W$35),"")</f>
        <v>1087</v>
      </c>
      <c r="X35">
        <f ca="1">IFERROR(IF(0=LEN(ReferenceData!$X$35),"",ReferenceData!$X$35),"")</f>
        <v>917</v>
      </c>
      <c r="Y35">
        <f ca="1">IFERROR(IF(0=LEN(ReferenceData!$Y$35),"",ReferenceData!$Y$35),"")</f>
        <v>320</v>
      </c>
      <c r="Z35" t="str">
        <f ca="1">IFERROR(IF(0=LEN(ReferenceData!$Z$35),"",ReferenceData!$Z$35),"")</f>
        <v/>
      </c>
      <c r="AA35">
        <f ca="1">IFERROR(IF(0=LEN(ReferenceData!$AA$35),"",ReferenceData!$AA$35),"")</f>
        <v>887</v>
      </c>
      <c r="AB35">
        <f ca="1">IFERROR(IF(0=LEN(ReferenceData!$AB$35),"",ReferenceData!$AB$35),"")</f>
        <v>279</v>
      </c>
      <c r="AC35">
        <f ca="1">IFERROR(IF(0=LEN(ReferenceData!$AC$35),"",ReferenceData!$AC$35),"")</f>
        <v>396</v>
      </c>
      <c r="AD35">
        <f ca="1">IFERROR(IF(0=LEN(ReferenceData!$AD$35),"",ReferenceData!$AD$35),"")</f>
        <v>203</v>
      </c>
      <c r="AE35">
        <f ca="1">IFERROR(IF(0=LEN(ReferenceData!$AE$35),"",ReferenceData!$AE$35),"")</f>
        <v>262</v>
      </c>
      <c r="AF35">
        <f ca="1">IFERROR(IF(0=LEN(ReferenceData!$AF$35),"",ReferenceData!$AF$35),"")</f>
        <v>324</v>
      </c>
      <c r="AG35">
        <f ca="1">IFERROR(IF(0=LEN(ReferenceData!$AG$35),"",ReferenceData!$AG$35),"")</f>
        <v>465</v>
      </c>
      <c r="AH35">
        <f ca="1">IFERROR(IF(0=LEN(ReferenceData!$AH$35),"",ReferenceData!$AH$35),"")</f>
        <v>377</v>
      </c>
      <c r="AI35">
        <f ca="1">IFERROR(IF(0=LEN(ReferenceData!$AI$35),"",ReferenceData!$AI$35),"")</f>
        <v>429</v>
      </c>
      <c r="AJ35">
        <f ca="1">IFERROR(IF(0=LEN(ReferenceData!$AJ$35),"",ReferenceData!$AJ$35),"")</f>
        <v>404</v>
      </c>
      <c r="AK35">
        <f ca="1">IFERROR(IF(0=LEN(ReferenceData!$AK$35),"",ReferenceData!$AK$35),"")</f>
        <v>406</v>
      </c>
      <c r="AL35">
        <f ca="1">IFERROR(IF(0=LEN(ReferenceData!$AL$35),"",ReferenceData!$AL$35),"")</f>
        <v>511</v>
      </c>
      <c r="AM35">
        <f ca="1">IFERROR(IF(0=LEN(ReferenceData!$AM$35),"",ReferenceData!$AM$35),"")</f>
        <v>624</v>
      </c>
      <c r="AN35">
        <f ca="1">IFERROR(IF(0=LEN(ReferenceData!$AN$35),"",ReferenceData!$AN$35),"")</f>
        <v>689</v>
      </c>
      <c r="AO35">
        <f ca="1">IFERROR(IF(0=LEN(ReferenceData!$AO$35),"",ReferenceData!$AO$35),"")</f>
        <v>667</v>
      </c>
      <c r="AP35">
        <f ca="1">IFERROR(IF(0=LEN(ReferenceData!$AP$35),"",ReferenceData!$AP$35),"")</f>
        <v>556</v>
      </c>
      <c r="AQ35">
        <f ca="1">IFERROR(IF(0=LEN(ReferenceData!$AQ$35),"",ReferenceData!$AQ$35),"")</f>
        <v>469</v>
      </c>
      <c r="AR35">
        <f ca="1">IFERROR(IF(0=LEN(ReferenceData!$AR$35),"",ReferenceData!$AR$35),"")</f>
        <v>783</v>
      </c>
      <c r="AS35">
        <f ca="1">IFERROR(IF(0=LEN(ReferenceData!$AS$35),"",ReferenceData!$AS$35),"")</f>
        <v>705</v>
      </c>
      <c r="AT35">
        <f ca="1">IFERROR(IF(0=LEN(ReferenceData!$AT$35),"",ReferenceData!$AT$35),"")</f>
        <v>855</v>
      </c>
      <c r="AU35">
        <f ca="1">IFERROR(IF(0=LEN(ReferenceData!$AU$35),"",ReferenceData!$AU$35),"")</f>
        <v>903</v>
      </c>
      <c r="AV35">
        <f ca="1">IFERROR(IF(0=LEN(ReferenceData!$AV$35),"",ReferenceData!$AV$35),"")</f>
        <v>1291</v>
      </c>
      <c r="AW35">
        <f ca="1">IFERROR(IF(0=LEN(ReferenceData!$AW$35),"",ReferenceData!$AW$35),"")</f>
        <v>514</v>
      </c>
      <c r="AX35">
        <f ca="1">IFERROR(IF(0=LEN(ReferenceData!$AX$35),"",ReferenceData!$AX$35),"")</f>
        <v>1089</v>
      </c>
      <c r="AY35">
        <f ca="1">IFERROR(IF(0=LEN(ReferenceData!$AY$35),"",ReferenceData!$AY$35),"")</f>
        <v>841</v>
      </c>
      <c r="AZ35">
        <f ca="1">IFERROR(IF(0=LEN(ReferenceData!$AZ$35),"",ReferenceData!$AZ$35),"")</f>
        <v>1823</v>
      </c>
      <c r="BA35">
        <f ca="1">IFERROR(IF(0=LEN(ReferenceData!$BA$35),"",ReferenceData!$BA$35),"")</f>
        <v>1452</v>
      </c>
      <c r="BB35">
        <f ca="1">IFERROR(IF(0=LEN(ReferenceData!$BB$35),"",ReferenceData!$BB$35),"")</f>
        <v>2035</v>
      </c>
      <c r="BC35">
        <f ca="1">IFERROR(IF(0=LEN(ReferenceData!$BC$35),"",ReferenceData!$BC$35),"")</f>
        <v>2377</v>
      </c>
      <c r="BD35">
        <f ca="1">IFERROR(IF(0=LEN(ReferenceData!$BD$35),"",ReferenceData!$BD$35),"")</f>
        <v>2265</v>
      </c>
      <c r="BE35">
        <f ca="1">IFERROR(IF(0=LEN(ReferenceData!$BE$35),"",ReferenceData!$BE$35),"")</f>
        <v>2010</v>
      </c>
      <c r="BF35">
        <f ca="1">IFERROR(IF(0=LEN(ReferenceData!$BF$35),"",ReferenceData!$BF$35),"")</f>
        <v>725</v>
      </c>
      <c r="BG35">
        <f ca="1">IFERROR(IF(0=LEN(ReferenceData!$BG$35),"",ReferenceData!$BG$35),"")</f>
        <v>1380</v>
      </c>
      <c r="BH35">
        <f ca="1">IFERROR(IF(0=LEN(ReferenceData!$BH$35),"",ReferenceData!$BH$35),"")</f>
        <v>1103</v>
      </c>
      <c r="BI35">
        <f ca="1">IFERROR(IF(0=LEN(ReferenceData!$BI$35),"",ReferenceData!$BI$35),"")</f>
        <v>-487</v>
      </c>
      <c r="BJ35">
        <f ca="1">IFERROR(IF(0=LEN(ReferenceData!$BJ$35),"",ReferenceData!$BJ$35),"")</f>
        <v>1617</v>
      </c>
      <c r="BK35">
        <f ca="1">IFERROR(IF(0=LEN(ReferenceData!$BK$35),"",ReferenceData!$BK$35),"")</f>
        <v>707</v>
      </c>
      <c r="BL35">
        <f ca="1">IFERROR(IF(0=LEN(ReferenceData!$BL$35),"",ReferenceData!$BL$35),"")</f>
        <v>888</v>
      </c>
      <c r="BM35">
        <f ca="1">IFERROR(IF(0=LEN(ReferenceData!$BM$35),"",ReferenceData!$BM$35),"")</f>
        <v>658</v>
      </c>
    </row>
    <row r="36" spans="1:65">
      <c r="A36" t="str">
        <f>IFERROR(IF(0=LEN(ReferenceData!$A$36),"",ReferenceData!$A$36),"")</f>
        <v xml:space="preserve">    KeyCorp</v>
      </c>
      <c r="B36" t="str">
        <f>IFERROR(IF(0=LEN(ReferenceData!$B$36),"",ReferenceData!$B$36),"")</f>
        <v>KEY US Equity</v>
      </c>
      <c r="C36" t="str">
        <f>IFERROR(IF(0=LEN(ReferenceData!$C$36),"",ReferenceData!$C$36),"")</f>
        <v>A0621</v>
      </c>
      <c r="D36" t="str">
        <f>IFERROR(IF(0=LEN(ReferenceData!$D$36),"",ReferenceData!$D$36),"")</f>
        <v>ARD_MORTGAGE_BANKING_REVENUE</v>
      </c>
      <c r="E36" t="str">
        <f>IFERROR(IF(0=LEN(ReferenceData!$E$36),"",ReferenceData!$E$36),"")</f>
        <v>Dynamic</v>
      </c>
      <c r="F36">
        <f ca="1">IFERROR(IF(0=LEN(ReferenceData!$F$36),"",ReferenceData!$F$36),"")</f>
        <v>16</v>
      </c>
      <c r="G36">
        <f ca="1">IFERROR(IF(0=LEN(ReferenceData!$G$36),"",ReferenceData!$G$36),"")</f>
        <v>12</v>
      </c>
      <c r="H36">
        <f ca="1">IFERROR(IF(0=LEN(ReferenceData!$H$36),"",ReferenceData!$H$36),"")</f>
        <v>16</v>
      </c>
      <c r="I36">
        <f ca="1">IFERROR(IF(0=LEN(ReferenceData!$I$36),"",ReferenceData!$I$36),"")</f>
        <v>14</v>
      </c>
      <c r="J36">
        <f ca="1">IFERROR(IF(0=LEN(ReferenceData!$J$36),"",ReferenceData!$J$36),"")</f>
        <v>11</v>
      </c>
      <c r="K36">
        <f ca="1">IFERROR(IF(0=LEN(ReferenceData!$K$36),"",ReferenceData!$K$36),"")</f>
        <v>15</v>
      </c>
      <c r="L36">
        <f ca="1">IFERROR(IF(0=LEN(ReferenceData!$L$36),"",ReferenceData!$L$36),"")</f>
        <v>14</v>
      </c>
      <c r="M36">
        <f ca="1">IFERROR(IF(0=LEN(ReferenceData!$M$36),"",ReferenceData!$M$36),"")</f>
        <v>11</v>
      </c>
      <c r="N36">
        <f ca="1">IFERROR(IF(0=LEN(ReferenceData!$N$36),"",ReferenceData!$N$36),"")</f>
        <v>9</v>
      </c>
      <c r="O36">
        <f ca="1">IFERROR(IF(0=LEN(ReferenceData!$O$36),"",ReferenceData!$O$36),"")</f>
        <v>14</v>
      </c>
      <c r="P36">
        <f ca="1">IFERROR(IF(0=LEN(ReferenceData!$P$36),"",ReferenceData!$P$36),"")</f>
        <v>14</v>
      </c>
      <c r="Q36">
        <f ca="1">IFERROR(IF(0=LEN(ReferenceData!$Q$36),"",ReferenceData!$Q$36),"")</f>
        <v>21</v>
      </c>
      <c r="R36">
        <f ca="1">IFERROR(IF(0=LEN(ReferenceData!$R$36),"",ReferenceData!$R$36),"")</f>
        <v>25</v>
      </c>
      <c r="S36">
        <f ca="1">IFERROR(IF(0=LEN(ReferenceData!$S$36),"",ReferenceData!$S$36),"")</f>
        <v>33</v>
      </c>
      <c r="T36">
        <f ca="1">IFERROR(IF(0=LEN(ReferenceData!$T$36),"",ReferenceData!$T$36),"")</f>
        <v>26</v>
      </c>
      <c r="U36">
        <f ca="1">IFERROR(IF(0=LEN(ReferenceData!$U$36),"",ReferenceData!$U$36),"")</f>
        <v>47</v>
      </c>
      <c r="V36">
        <f ca="1">IFERROR(IF(0=LEN(ReferenceData!$V$36),"",ReferenceData!$V$36),"")</f>
        <v>43</v>
      </c>
      <c r="W36">
        <f ca="1">IFERROR(IF(0=LEN(ReferenceData!$W$36),"",ReferenceData!$W$36),"")</f>
        <v>51</v>
      </c>
      <c r="X36">
        <f ca="1">IFERROR(IF(0=LEN(ReferenceData!$X$36),"",ReferenceData!$X$36),"")</f>
        <v>62</v>
      </c>
      <c r="Y36">
        <f ca="1">IFERROR(IF(0=LEN(ReferenceData!$Y$36),"",ReferenceData!$Y$36),"")</f>
        <v>20</v>
      </c>
      <c r="Z36">
        <f ca="1">IFERROR(IF(0=LEN(ReferenceData!$Z$36),"",ReferenceData!$Z$36),"")</f>
        <v>21</v>
      </c>
      <c r="AA36">
        <f ca="1">IFERROR(IF(0=LEN(ReferenceData!$AA$36),"",ReferenceData!$AA$36),"")</f>
        <v>16</v>
      </c>
      <c r="AB36">
        <f ca="1">IFERROR(IF(0=LEN(ReferenceData!$AB$36),"",ReferenceData!$AB$36),"")</f>
        <v>15</v>
      </c>
      <c r="AC36">
        <f ca="1">IFERROR(IF(0=LEN(ReferenceData!$AC$36),"",ReferenceData!$AC$36),"")</f>
        <v>8</v>
      </c>
      <c r="AD36" t="str">
        <f ca="1">IFERROR(IF(0=LEN(ReferenceData!$AD$36),"",ReferenceData!$AD$36),"")</f>
        <v/>
      </c>
      <c r="AE36">
        <f ca="1">IFERROR(IF(0=LEN(ReferenceData!$AE$36),"",ReferenceData!$AE$36),"")</f>
        <v>9</v>
      </c>
      <c r="AF36">
        <f ca="1">IFERROR(IF(0=LEN(ReferenceData!$AF$36),"",ReferenceData!$AF$36),"")</f>
        <v>7</v>
      </c>
      <c r="AG36">
        <f ca="1">IFERROR(IF(0=LEN(ReferenceData!$AG$36),"",ReferenceData!$AG$36),"")</f>
        <v>7</v>
      </c>
      <c r="AH36">
        <f ca="1">IFERROR(IF(0=LEN(ReferenceData!$AH$36),"",ReferenceData!$AH$36),"")</f>
        <v>7</v>
      </c>
      <c r="AI36">
        <f ca="1">IFERROR(IF(0=LEN(ReferenceData!$AI$36),"",ReferenceData!$AI$36),"")</f>
        <v>7</v>
      </c>
      <c r="AJ36">
        <f ca="1">IFERROR(IF(0=LEN(ReferenceData!$AJ$36),"",ReferenceData!$AJ$36),"")</f>
        <v>6</v>
      </c>
      <c r="AK36">
        <f ca="1">IFERROR(IF(0=LEN(ReferenceData!$AK$36),"",ReferenceData!$AK$36),"")</f>
        <v>6</v>
      </c>
      <c r="AL36">
        <f ca="1">IFERROR(IF(0=LEN(ReferenceData!$AL$36),"",ReferenceData!$AL$36),"")</f>
        <v>6</v>
      </c>
      <c r="AM36">
        <f ca="1">IFERROR(IF(0=LEN(ReferenceData!$AM$36),"",ReferenceData!$AM$36),"")</f>
        <v>6</v>
      </c>
      <c r="AN36">
        <f ca="1">IFERROR(IF(0=LEN(ReferenceData!$AN$36),"",ReferenceData!$AN$36),"")</f>
        <v>3</v>
      </c>
      <c r="AO36">
        <f ca="1">IFERROR(IF(0=LEN(ReferenceData!$AO$36),"",ReferenceData!$AO$36),"")</f>
        <v>2</v>
      </c>
      <c r="AP36">
        <f ca="1">IFERROR(IF(0=LEN(ReferenceData!$AP$36),"",ReferenceData!$AP$36),"")</f>
        <v>2</v>
      </c>
      <c r="AQ36">
        <f ca="1">IFERROR(IF(0=LEN(ReferenceData!$AQ$36),"",ReferenceData!$AQ$36),"")</f>
        <v>3</v>
      </c>
      <c r="AR36">
        <f ca="1">IFERROR(IF(0=LEN(ReferenceData!$AR$36),"",ReferenceData!$AR$36),"")</f>
        <v>4</v>
      </c>
      <c r="AS36">
        <f ca="1">IFERROR(IF(0=LEN(ReferenceData!$AS$36),"",ReferenceData!$AS$36),"")</f>
        <v>3</v>
      </c>
      <c r="AT36">
        <f ca="1">IFERROR(IF(0=LEN(ReferenceData!$AT$36),"",ReferenceData!$AT$36),"")</f>
        <v>3</v>
      </c>
      <c r="AU36">
        <f ca="1">IFERROR(IF(0=LEN(ReferenceData!$AU$36),"",ReferenceData!$AU$36),"")</f>
        <v>3</v>
      </c>
      <c r="AV36">
        <f ca="1">IFERROR(IF(0=LEN(ReferenceData!$AV$36),"",ReferenceData!$AV$36),"")</f>
        <v>2</v>
      </c>
      <c r="AW36">
        <f ca="1">IFERROR(IF(0=LEN(ReferenceData!$AW$36),"",ReferenceData!$AW$36),"")</f>
        <v>2</v>
      </c>
      <c r="AX36">
        <f ca="1">IFERROR(IF(0=LEN(ReferenceData!$AX$36),"",ReferenceData!$AX$36),"")</f>
        <v>3</v>
      </c>
      <c r="AY36">
        <f ca="1">IFERROR(IF(0=LEN(ReferenceData!$AY$36),"",ReferenceData!$AY$36),"")</f>
        <v>3</v>
      </c>
      <c r="AZ36">
        <f ca="1">IFERROR(IF(0=LEN(ReferenceData!$AZ$36),"",ReferenceData!$AZ$36),"")</f>
        <v>6</v>
      </c>
      <c r="BA36">
        <f ca="1">IFERROR(IF(0=LEN(ReferenceData!$BA$36),"",ReferenceData!$BA$36),"")</f>
        <v>7</v>
      </c>
      <c r="BB36">
        <f ca="1">IFERROR(IF(0=LEN(ReferenceData!$BB$36),"",ReferenceData!$BB$36),"")</f>
        <v>11</v>
      </c>
      <c r="BC36">
        <f ca="1">IFERROR(IF(0=LEN(ReferenceData!$BC$36),"",ReferenceData!$BC$36),"")</f>
        <v>11</v>
      </c>
      <c r="BD36">
        <f ca="1">IFERROR(IF(0=LEN(ReferenceData!$BD$36),"",ReferenceData!$BD$36),"")</f>
        <v>9</v>
      </c>
      <c r="BE36">
        <f ca="1">IFERROR(IF(0=LEN(ReferenceData!$BE$36),"",ReferenceData!$BE$36),"")</f>
        <v>9</v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  <c r="BM36" t="str">
        <f ca="1">IFERROR(IF(0=LEN(ReferenceData!$BM$36),"",ReferenceData!$BM$36),"")</f>
        <v/>
      </c>
    </row>
    <row r="37" spans="1:65">
      <c r="A37" t="str">
        <f>IFERROR(IF(0=LEN(ReferenceData!$A$37),"",ReferenceData!$A$37),"")</f>
        <v xml:space="preserve">    M&amp;T Bank Corp</v>
      </c>
      <c r="B37" t="str">
        <f>IFERROR(IF(0=LEN(ReferenceData!$B$37),"",ReferenceData!$B$37),"")</f>
        <v>MTB US Equity</v>
      </c>
      <c r="C37" t="str">
        <f>IFERROR(IF(0=LEN(ReferenceData!$C$37),"",ReferenceData!$C$37),"")</f>
        <v>A0621</v>
      </c>
      <c r="D37" t="str">
        <f>IFERROR(IF(0=LEN(ReferenceData!$D$37),"",ReferenceData!$D$37),"")</f>
        <v>ARD_MORTGAGE_BANKING_REVENUE</v>
      </c>
      <c r="E37" t="str">
        <f>IFERROR(IF(0=LEN(ReferenceData!$E$37),"",ReferenceData!$E$37),"")</f>
        <v>Dynamic</v>
      </c>
      <c r="F37">
        <f ca="1">IFERROR(IF(0=LEN(ReferenceData!$F$37),"",ReferenceData!$F$37),"")</f>
        <v>117</v>
      </c>
      <c r="G37">
        <f ca="1">IFERROR(IF(0=LEN(ReferenceData!$G$37),"",ReferenceData!$G$37),"")</f>
        <v>109</v>
      </c>
      <c r="H37">
        <f ca="1">IFERROR(IF(0=LEN(ReferenceData!$H$37),"",ReferenceData!$H$37),"")</f>
        <v>106</v>
      </c>
      <c r="I37">
        <f ca="1">IFERROR(IF(0=LEN(ReferenceData!$I$37),"",ReferenceData!$I$37),"")</f>
        <v>104</v>
      </c>
      <c r="J37">
        <f ca="1">IFERROR(IF(0=LEN(ReferenceData!$J$37),"",ReferenceData!$J$37),"")</f>
        <v>112</v>
      </c>
      <c r="K37">
        <f ca="1">IFERROR(IF(0=LEN(ReferenceData!$K$37),"",ReferenceData!$K$37),"")</f>
        <v>104.47799999999999</v>
      </c>
      <c r="L37">
        <f ca="1">IFERROR(IF(0=LEN(ReferenceData!$L$37),"",ReferenceData!$L$37),"")</f>
        <v>107.11199999999999</v>
      </c>
      <c r="M37">
        <f ca="1">IFERROR(IF(0=LEN(ReferenceData!$M$37),"",ReferenceData!$M$37),"")</f>
        <v>84.984999999999999</v>
      </c>
      <c r="N37">
        <f ca="1">IFERROR(IF(0=LEN(ReferenceData!$N$37),"",ReferenceData!$N$37),"")</f>
        <v>81.521000000000001</v>
      </c>
      <c r="O37">
        <f ca="1">IFERROR(IF(0=LEN(ReferenceData!$O$37),"",ReferenceData!$O$37),"")</f>
        <v>83.040999999999997</v>
      </c>
      <c r="P37">
        <f ca="1">IFERROR(IF(0=LEN(ReferenceData!$P$37),"",ReferenceData!$P$37),"")</f>
        <v>82.926000000000002</v>
      </c>
      <c r="Q37">
        <f ca="1">IFERROR(IF(0=LEN(ReferenceData!$Q$37),"",ReferenceData!$Q$37),"")</f>
        <v>109.148</v>
      </c>
      <c r="R37">
        <f ca="1">IFERROR(IF(0=LEN(ReferenceData!$R$37),"",ReferenceData!$R$37),"")</f>
        <v>139.267</v>
      </c>
      <c r="S37">
        <f ca="1">IFERROR(IF(0=LEN(ReferenceData!$S$37),"",ReferenceData!$S$37),"")</f>
        <v>159.995</v>
      </c>
      <c r="T37">
        <f ca="1">IFERROR(IF(0=LEN(ReferenceData!$T$37),"",ReferenceData!$T$37),"")</f>
        <v>133.31299999999999</v>
      </c>
      <c r="U37">
        <f ca="1">IFERROR(IF(0=LEN(ReferenceData!$U$37),"",ReferenceData!$U$37),"")</f>
        <v>138.75399999999999</v>
      </c>
      <c r="V37">
        <f ca="1">IFERROR(IF(0=LEN(ReferenceData!$V$37),"",ReferenceData!$V$37),"")</f>
        <v>140.441</v>
      </c>
      <c r="W37">
        <f ca="1">IFERROR(IF(0=LEN(ReferenceData!$W$37),"",ReferenceData!$W$37),"")</f>
        <v>153.267</v>
      </c>
      <c r="X37">
        <f ca="1">IFERROR(IF(0=LEN(ReferenceData!$X$37),"",ReferenceData!$X$37),"")</f>
        <v>145.024</v>
      </c>
      <c r="Y37">
        <f ca="1">IFERROR(IF(0=LEN(ReferenceData!$Y$37),"",ReferenceData!$Y$37),"")</f>
        <v>127.90900000000001</v>
      </c>
      <c r="Z37">
        <f ca="1">IFERROR(IF(0=LEN(ReferenceData!$Z$37),"",ReferenceData!$Z$37),"")</f>
        <v>118.134</v>
      </c>
      <c r="AA37">
        <f ca="1">IFERROR(IF(0=LEN(ReferenceData!$AA$37),"",ReferenceData!$AA$37),"")</f>
        <v>137.00399999999999</v>
      </c>
      <c r="AB37">
        <f ca="1">IFERROR(IF(0=LEN(ReferenceData!$AB$37),"",ReferenceData!$AB$37),"")</f>
        <v>107.321</v>
      </c>
      <c r="AC37">
        <f ca="1">IFERROR(IF(0=LEN(ReferenceData!$AC$37),"",ReferenceData!$AC$37),"")</f>
        <v>95.311000000000007</v>
      </c>
      <c r="AD37">
        <f ca="1">IFERROR(IF(0=LEN(ReferenceData!$AD$37),"",ReferenceData!$AD$37),"")</f>
        <v>92.228999999999999</v>
      </c>
      <c r="AE37">
        <f ca="1">IFERROR(IF(0=LEN(ReferenceData!$AE$37),"",ReferenceData!$AE$37),"")</f>
        <v>88.408000000000001</v>
      </c>
      <c r="AF37">
        <f ca="1">IFERROR(IF(0=LEN(ReferenceData!$AF$37),"",ReferenceData!$AF$37),"")</f>
        <v>92.498999999999995</v>
      </c>
      <c r="AG37">
        <f ca="1">IFERROR(IF(0=LEN(ReferenceData!$AG$37),"",ReferenceData!$AG$37),"")</f>
        <v>87.305999999999997</v>
      </c>
      <c r="AH37">
        <f ca="1">IFERROR(IF(0=LEN(ReferenceData!$AH$37),"",ReferenceData!$AH$37),"")</f>
        <v>96.234999999999999</v>
      </c>
      <c r="AI37">
        <f ca="1">IFERROR(IF(0=LEN(ReferenceData!$AI$37),"",ReferenceData!$AI$37),"")</f>
        <v>96.736999999999995</v>
      </c>
      <c r="AJ37">
        <f ca="1">IFERROR(IF(0=LEN(ReferenceData!$AJ$37),"",ReferenceData!$AJ$37),"")</f>
        <v>86.162999999999997</v>
      </c>
      <c r="AK37">
        <f ca="1">IFERROR(IF(0=LEN(ReferenceData!$AK$37),"",ReferenceData!$AK$37),"")</f>
        <v>84.691999999999993</v>
      </c>
      <c r="AL37">
        <f ca="1">IFERROR(IF(0=LEN(ReferenceData!$AL$37),"",ReferenceData!$AL$37),"")</f>
        <v>98.504000000000005</v>
      </c>
      <c r="AM37">
        <f ca="1">IFERROR(IF(0=LEN(ReferenceData!$AM$37),"",ReferenceData!$AM$37),"")</f>
        <v>103.747</v>
      </c>
      <c r="AN37">
        <f ca="1">IFERROR(IF(0=LEN(ReferenceData!$AN$37),"",ReferenceData!$AN$37),"")</f>
        <v>89.382999999999996</v>
      </c>
      <c r="AO37">
        <f ca="1">IFERROR(IF(0=LEN(ReferenceData!$AO$37),"",ReferenceData!$AO$37),"")</f>
        <v>82.063000000000002</v>
      </c>
      <c r="AP37">
        <f ca="1">IFERROR(IF(0=LEN(ReferenceData!$AP$37),"",ReferenceData!$AP$37),"")</f>
        <v>87.5</v>
      </c>
      <c r="AQ37">
        <f ca="1">IFERROR(IF(0=LEN(ReferenceData!$AQ$37),"",ReferenceData!$AQ$37),"")</f>
        <v>84.034999999999997</v>
      </c>
      <c r="AR37">
        <f ca="1">IFERROR(IF(0=LEN(ReferenceData!$AR$37),"",ReferenceData!$AR$37),"")</f>
        <v>102.602</v>
      </c>
      <c r="AS37">
        <f ca="1">IFERROR(IF(0=LEN(ReferenceData!$AS$37),"",ReferenceData!$AS$37),"")</f>
        <v>101.601</v>
      </c>
      <c r="AT37">
        <f ca="1">IFERROR(IF(0=LEN(ReferenceData!$AT$37),"",ReferenceData!$AT$37),"")</f>
        <v>93.674999999999997</v>
      </c>
      <c r="AU37">
        <f ca="1">IFERROR(IF(0=LEN(ReferenceData!$AU$37),"",ReferenceData!$AU$37),"")</f>
        <v>93.531999999999996</v>
      </c>
      <c r="AV37">
        <f ca="1">IFERROR(IF(0=LEN(ReferenceData!$AV$37),"",ReferenceData!$AV$37),"")</f>
        <v>95.656000000000006</v>
      </c>
      <c r="AW37">
        <f ca="1">IFERROR(IF(0=LEN(ReferenceData!$AW$37),"",ReferenceData!$AW$37),"")</f>
        <v>80.049000000000007</v>
      </c>
      <c r="AX37">
        <f ca="1">IFERROR(IF(0=LEN(ReferenceData!$AX$37),"",ReferenceData!$AX$37),"")</f>
        <v>82.168999999999997</v>
      </c>
      <c r="AY37">
        <f ca="1">IFERROR(IF(0=LEN(ReferenceData!$AY$37),"",ReferenceData!$AY$37),"")</f>
        <v>64.730999999999995</v>
      </c>
      <c r="AZ37">
        <f ca="1">IFERROR(IF(0=LEN(ReferenceData!$AZ$37),"",ReferenceData!$AZ$37),"")</f>
        <v>91.262</v>
      </c>
      <c r="BA37">
        <f ca="1">IFERROR(IF(0=LEN(ReferenceData!$BA$37),"",ReferenceData!$BA$37),"")</f>
        <v>93.102999999999994</v>
      </c>
      <c r="BB37">
        <f ca="1">IFERROR(IF(0=LEN(ReferenceData!$BB$37),"",ReferenceData!$BB$37),"")</f>
        <v>116.54600000000001</v>
      </c>
      <c r="BC37">
        <f ca="1">IFERROR(IF(0=LEN(ReferenceData!$BC$37),"",ReferenceData!$BC$37),"")</f>
        <v>106.812</v>
      </c>
      <c r="BD37">
        <f ca="1">IFERROR(IF(0=LEN(ReferenceData!$BD$37),"",ReferenceData!$BD$37),"")</f>
        <v>69.513999999999996</v>
      </c>
      <c r="BE37">
        <f ca="1">IFERROR(IF(0=LEN(ReferenceData!$BE$37),"",ReferenceData!$BE$37),"")</f>
        <v>56.192</v>
      </c>
      <c r="BF37">
        <f ca="1">IFERROR(IF(0=LEN(ReferenceData!$BF$37),"",ReferenceData!$BF$37),"")</f>
        <v>40.573</v>
      </c>
      <c r="BG37">
        <f ca="1">IFERROR(IF(0=LEN(ReferenceData!$BG$37),"",ReferenceData!$BG$37),"")</f>
        <v>38.140999999999998</v>
      </c>
      <c r="BH37">
        <f ca="1">IFERROR(IF(0=LEN(ReferenceData!$BH$37),"",ReferenceData!$BH$37),"")</f>
        <v>42.151000000000003</v>
      </c>
      <c r="BI37">
        <f ca="1">IFERROR(IF(0=LEN(ReferenceData!$BI$37),"",ReferenceData!$BI$37),"")</f>
        <v>45.155999999999999</v>
      </c>
      <c r="BJ37">
        <f ca="1">IFERROR(IF(0=LEN(ReferenceData!$BJ$37),"",ReferenceData!$BJ$37),"")</f>
        <v>35.012999999999998</v>
      </c>
      <c r="BK37">
        <f ca="1">IFERROR(IF(0=LEN(ReferenceData!$BK$37),"",ReferenceData!$BK$37),"")</f>
        <v>61.052</v>
      </c>
      <c r="BL37">
        <f ca="1">IFERROR(IF(0=LEN(ReferenceData!$BL$37),"",ReferenceData!$BL$37),"")</f>
        <v>47.084000000000003</v>
      </c>
      <c r="BM37" t="str">
        <f ca="1">IFERROR(IF(0=LEN(ReferenceData!$BM$37),"",ReferenceData!$BM$37),"")</f>
        <v/>
      </c>
    </row>
    <row r="38" spans="1:65">
      <c r="A38" t="str">
        <f>IFERROR(IF(0=LEN(ReferenceData!$A$38),"",ReferenceData!$A$38),"")</f>
        <v xml:space="preserve">    PNC Financial Services Group I</v>
      </c>
      <c r="B38" t="str">
        <f>IFERROR(IF(0=LEN(ReferenceData!$B$38),"",ReferenceData!$B$38),"")</f>
        <v>PNC US Equity</v>
      </c>
      <c r="C38" t="str">
        <f>IFERROR(IF(0=LEN(ReferenceData!$C$38),"",ReferenceData!$C$38),"")</f>
        <v>A0621</v>
      </c>
      <c r="D38" t="str">
        <f>IFERROR(IF(0=LEN(ReferenceData!$D$38),"",ReferenceData!$D$38),"")</f>
        <v>ARD_MORTGAGE_BANKING_REVENUE</v>
      </c>
      <c r="E38" t="str">
        <f>IFERROR(IF(0=LEN(ReferenceData!$E$38),"",ReferenceData!$E$38),"")</f>
        <v>Dynamic</v>
      </c>
      <c r="F38">
        <f ca="1">IFERROR(IF(0=LEN(ReferenceData!$F$38),"",ReferenceData!$F$38),"")</f>
        <v>122</v>
      </c>
      <c r="G38">
        <f ca="1">IFERROR(IF(0=LEN(ReferenceData!$G$38),"",ReferenceData!$G$38),"")</f>
        <v>181</v>
      </c>
      <c r="H38">
        <f ca="1">IFERROR(IF(0=LEN(ReferenceData!$H$38),"",ReferenceData!$H$38),"")</f>
        <v>131</v>
      </c>
      <c r="I38">
        <f ca="1">IFERROR(IF(0=LEN(ReferenceData!$I$38),"",ReferenceData!$I$38),"")</f>
        <v>147</v>
      </c>
      <c r="J38">
        <f ca="1">IFERROR(IF(0=LEN(ReferenceData!$J$38),"",ReferenceData!$J$38),"")</f>
        <v>149</v>
      </c>
      <c r="K38">
        <f ca="1">IFERROR(IF(0=LEN(ReferenceData!$K$38),"",ReferenceData!$K$38),"")</f>
        <v>201</v>
      </c>
      <c r="L38">
        <f ca="1">IFERROR(IF(0=LEN(ReferenceData!$L$38),"",ReferenceData!$L$38),"")</f>
        <v>98</v>
      </c>
      <c r="M38">
        <f ca="1">IFERROR(IF(0=LEN(ReferenceData!$M$38),"",ReferenceData!$M$38),"")</f>
        <v>177</v>
      </c>
      <c r="N38">
        <f ca="1">IFERROR(IF(0=LEN(ReferenceData!$N$38),"",ReferenceData!$N$38),"")</f>
        <v>184</v>
      </c>
      <c r="O38">
        <f ca="1">IFERROR(IF(0=LEN(ReferenceData!$O$38),"",ReferenceData!$O$38),"")</f>
        <v>143</v>
      </c>
      <c r="P38">
        <f ca="1">IFERROR(IF(0=LEN(ReferenceData!$P$38),"",ReferenceData!$P$38),"")</f>
        <v>161</v>
      </c>
      <c r="Q38">
        <f ca="1">IFERROR(IF(0=LEN(ReferenceData!$Q$38),"",ReferenceData!$Q$38),"")</f>
        <v>159</v>
      </c>
      <c r="R38">
        <f ca="1">IFERROR(IF(0=LEN(ReferenceData!$R$38),"",ReferenceData!$R$38),"")</f>
        <v>209</v>
      </c>
      <c r="S38">
        <f ca="1">IFERROR(IF(0=LEN(ReferenceData!$S$38),"",ReferenceData!$S$38),"")</f>
        <v>248</v>
      </c>
      <c r="T38">
        <f ca="1">IFERROR(IF(0=LEN(ReferenceData!$T$38),"",ReferenceData!$T$38),"")</f>
        <v>206</v>
      </c>
      <c r="U38">
        <f ca="1">IFERROR(IF(0=LEN(ReferenceData!$U$38),"",ReferenceData!$U$38),"")</f>
        <v>187</v>
      </c>
      <c r="V38">
        <f ca="1">IFERROR(IF(0=LEN(ReferenceData!$V$38),"",ReferenceData!$V$38),"")</f>
        <v>99</v>
      </c>
      <c r="W38">
        <f ca="1">IFERROR(IF(0=LEN(ReferenceData!$W$38),"",ReferenceData!$W$38),"")</f>
        <v>137</v>
      </c>
      <c r="X38">
        <f ca="1">IFERROR(IF(0=LEN(ReferenceData!$X$38),"",ReferenceData!$X$38),"")</f>
        <v>158</v>
      </c>
      <c r="Y38">
        <f ca="1">IFERROR(IF(0=LEN(ReferenceData!$Y$38),"",ReferenceData!$Y$38),"")</f>
        <v>210</v>
      </c>
      <c r="Z38">
        <f ca="1">IFERROR(IF(0=LEN(ReferenceData!$Z$38),"",ReferenceData!$Z$38),"")</f>
        <v>87</v>
      </c>
      <c r="AA38">
        <f ca="1">IFERROR(IF(0=LEN(ReferenceData!$AA$38),"",ReferenceData!$AA$38),"")</f>
        <v>134</v>
      </c>
      <c r="AB38">
        <f ca="1">IFERROR(IF(0=LEN(ReferenceData!$AB$38),"",ReferenceData!$AB$38),"")</f>
        <v>82</v>
      </c>
      <c r="AC38">
        <f ca="1">IFERROR(IF(0=LEN(ReferenceData!$AC$38),"",ReferenceData!$AC$38),"")</f>
        <v>65</v>
      </c>
      <c r="AD38">
        <f ca="1">IFERROR(IF(0=LEN(ReferenceData!$AD$38),"",ReferenceData!$AD$38),"")</f>
        <v>59</v>
      </c>
      <c r="AE38">
        <f ca="1">IFERROR(IF(0=LEN(ReferenceData!$AE$38),"",ReferenceData!$AE$38),"")</f>
        <v>76</v>
      </c>
      <c r="AF38">
        <f ca="1">IFERROR(IF(0=LEN(ReferenceData!$AF$38),"",ReferenceData!$AF$38),"")</f>
        <v>84</v>
      </c>
      <c r="AG38">
        <f ca="1">IFERROR(IF(0=LEN(ReferenceData!$AG$38),"",ReferenceData!$AG$38),"")</f>
        <v>97</v>
      </c>
      <c r="AH38">
        <f ca="1">IFERROR(IF(0=LEN(ReferenceData!$AH$38),"",ReferenceData!$AH$38),"")</f>
        <v>29</v>
      </c>
      <c r="AI38">
        <f ca="1">IFERROR(IF(0=LEN(ReferenceData!$AI$38),"",ReferenceData!$AI$38),"")</f>
        <v>104</v>
      </c>
      <c r="AJ38">
        <f ca="1">IFERROR(IF(0=LEN(ReferenceData!$AJ$38),"",ReferenceData!$AJ$38),"")</f>
        <v>104</v>
      </c>
      <c r="AK38">
        <f ca="1">IFERROR(IF(0=LEN(ReferenceData!$AK$38),"",ReferenceData!$AK$38),"")</f>
        <v>113</v>
      </c>
      <c r="AL38">
        <f ca="1">IFERROR(IF(0=LEN(ReferenceData!$AL$38),"",ReferenceData!$AL$38),"")</f>
        <v>142</v>
      </c>
      <c r="AM38">
        <f ca="1">IFERROR(IF(0=LEN(ReferenceData!$AM$38),"",ReferenceData!$AM$38),"")</f>
        <v>160</v>
      </c>
      <c r="AN38">
        <f ca="1">IFERROR(IF(0=LEN(ReferenceData!$AN$38),"",ReferenceData!$AN$38),"")</f>
        <v>165</v>
      </c>
      <c r="AO38">
        <f ca="1">IFERROR(IF(0=LEN(ReferenceData!$AO$38),"",ReferenceData!$AO$38),"")</f>
        <v>100</v>
      </c>
      <c r="AP38">
        <f ca="1">IFERROR(IF(0=LEN(ReferenceData!$AP$38),"",ReferenceData!$AP$38),"")</f>
        <v>113</v>
      </c>
      <c r="AQ38">
        <f ca="1">IFERROR(IF(0=LEN(ReferenceData!$AQ$38),"",ReferenceData!$AQ$38),"")</f>
        <v>125</v>
      </c>
      <c r="AR38">
        <f ca="1">IFERROR(IF(0=LEN(ReferenceData!$AR$38),"",ReferenceData!$AR$38),"")</f>
        <v>164</v>
      </c>
      <c r="AS38">
        <f ca="1">IFERROR(IF(0=LEN(ReferenceData!$AS$38),"",ReferenceData!$AS$38),"")</f>
        <v>164</v>
      </c>
      <c r="AT38">
        <f ca="1">IFERROR(IF(0=LEN(ReferenceData!$AT$38),"",ReferenceData!$AT$38),"")</f>
        <v>135</v>
      </c>
      <c r="AU38">
        <f ca="1">IFERROR(IF(0=LEN(ReferenceData!$AU$38),"",ReferenceData!$AU$38),"")</f>
        <v>140</v>
      </c>
      <c r="AV38">
        <f ca="1">IFERROR(IF(0=LEN(ReferenceData!$AV$38),"",ReferenceData!$AV$38),"")</f>
        <v>182</v>
      </c>
      <c r="AW38">
        <f ca="1">IFERROR(IF(0=LEN(ReferenceData!$AW$38),"",ReferenceData!$AW$38),"")</f>
        <v>161</v>
      </c>
      <c r="AX38">
        <f ca="1">IFERROR(IF(0=LEN(ReferenceData!$AX$38),"",ReferenceData!$AX$38),"")</f>
        <v>271</v>
      </c>
      <c r="AY38">
        <f ca="1">IFERROR(IF(0=LEN(ReferenceData!$AY$38),"",ReferenceData!$AY$38),"")</f>
        <v>199</v>
      </c>
      <c r="AZ38">
        <f ca="1">IFERROR(IF(0=LEN(ReferenceData!$AZ$38),"",ReferenceData!$AZ$38),"")</f>
        <v>167</v>
      </c>
      <c r="BA38">
        <f ca="1">IFERROR(IF(0=LEN(ReferenceData!$BA$38),"",ReferenceData!$BA$38),"")</f>
        <v>234</v>
      </c>
      <c r="BB38">
        <f ca="1">IFERROR(IF(0=LEN(ReferenceData!$BB$38),"",ReferenceData!$BB$38),"")</f>
        <v>0</v>
      </c>
      <c r="BC38">
        <f ca="1">IFERROR(IF(0=LEN(ReferenceData!$BC$38),"",ReferenceData!$BC$38),"")</f>
        <v>227</v>
      </c>
      <c r="BD38">
        <f ca="1">IFERROR(IF(0=LEN(ReferenceData!$BD$38),"",ReferenceData!$BD$38),"")</f>
        <v>-173</v>
      </c>
      <c r="BE38">
        <f ca="1">IFERROR(IF(0=LEN(ReferenceData!$BE$38),"",ReferenceData!$BE$38),"")</f>
        <v>230</v>
      </c>
      <c r="BF38">
        <f ca="1">IFERROR(IF(0=LEN(ReferenceData!$BF$38),"",ReferenceData!$BF$38),"")</f>
        <v>157</v>
      </c>
      <c r="BG38">
        <f ca="1">IFERROR(IF(0=LEN(ReferenceData!$BG$38),"",ReferenceData!$BG$38),"")</f>
        <v>198</v>
      </c>
      <c r="BH38">
        <f ca="1">IFERROR(IF(0=LEN(ReferenceData!$BH$38),"",ReferenceData!$BH$38),"")</f>
        <v>163</v>
      </c>
      <c r="BI38">
        <f ca="1">IFERROR(IF(0=LEN(ReferenceData!$BI$38),"",ReferenceData!$BI$38),"")</f>
        <v>195</v>
      </c>
      <c r="BJ38">
        <f ca="1">IFERROR(IF(0=LEN(ReferenceData!$BJ$38),"",ReferenceData!$BJ$38),"")</f>
        <v>157</v>
      </c>
      <c r="BK38">
        <f ca="1">IFERROR(IF(0=LEN(ReferenceData!$BK$38),"",ReferenceData!$BK$38),"")</f>
        <v>216</v>
      </c>
      <c r="BL38">
        <f ca="1">IFERROR(IF(0=LEN(ReferenceData!$BL$38),"",ReferenceData!$BL$38),"")</f>
        <v>179</v>
      </c>
      <c r="BM38">
        <f ca="1">IFERROR(IF(0=LEN(ReferenceData!$BM$38),"",ReferenceData!$BM$38),"")</f>
        <v>147</v>
      </c>
    </row>
    <row r="39" spans="1:65">
      <c r="A39" t="str">
        <f>IFERROR(IF(0=LEN(ReferenceData!$A$39),"",ReferenceData!$A$39),"")</f>
        <v xml:space="preserve">    Regions Financial Corp</v>
      </c>
      <c r="B39" t="str">
        <f>IFERROR(IF(0=LEN(ReferenceData!$B$39),"",ReferenceData!$B$39),"")</f>
        <v>RF US Equity</v>
      </c>
      <c r="C39" t="str">
        <f>IFERROR(IF(0=LEN(ReferenceData!$C$39),"",ReferenceData!$C$39),"")</f>
        <v>A0621</v>
      </c>
      <c r="D39" t="str">
        <f>IFERROR(IF(0=LEN(ReferenceData!$D$39),"",ReferenceData!$D$39),"")</f>
        <v>ARD_MORTGAGE_BANKING_REVENUE</v>
      </c>
      <c r="E39" t="str">
        <f>IFERROR(IF(0=LEN(ReferenceData!$E$39),"",ReferenceData!$E$39),"")</f>
        <v>Dynamic</v>
      </c>
      <c r="F39">
        <f ca="1">IFERROR(IF(0=LEN(ReferenceData!$F$39),"",ReferenceData!$F$39),"")</f>
        <v>35</v>
      </c>
      <c r="G39">
        <f ca="1">IFERROR(IF(0=LEN(ReferenceData!$G$39),"",ReferenceData!$G$39),"")</f>
        <v>36</v>
      </c>
      <c r="H39">
        <f ca="1">IFERROR(IF(0=LEN(ReferenceData!$H$39),"",ReferenceData!$H$39),"")</f>
        <v>34</v>
      </c>
      <c r="I39">
        <f ca="1">IFERROR(IF(0=LEN(ReferenceData!$I$39),"",ReferenceData!$I$39),"")</f>
        <v>41</v>
      </c>
      <c r="J39">
        <f ca="1">IFERROR(IF(0=LEN(ReferenceData!$J$39),"",ReferenceData!$J$39),"")</f>
        <v>31</v>
      </c>
      <c r="K39">
        <f ca="1">IFERROR(IF(0=LEN(ReferenceData!$K$39),"",ReferenceData!$K$39),"")</f>
        <v>28</v>
      </c>
      <c r="L39">
        <f ca="1">IFERROR(IF(0=LEN(ReferenceData!$L$39),"",ReferenceData!$L$39),"")</f>
        <v>26</v>
      </c>
      <c r="M39">
        <f ca="1">IFERROR(IF(0=LEN(ReferenceData!$M$39),"",ReferenceData!$M$39),"")</f>
        <v>24</v>
      </c>
      <c r="N39">
        <f ca="1">IFERROR(IF(0=LEN(ReferenceData!$N$39),"",ReferenceData!$N$39),"")</f>
        <v>24</v>
      </c>
      <c r="O39">
        <f ca="1">IFERROR(IF(0=LEN(ReferenceData!$O$39),"",ReferenceData!$O$39),"")</f>
        <v>37</v>
      </c>
      <c r="P39">
        <f ca="1">IFERROR(IF(0=LEN(ReferenceData!$P$39),"",ReferenceData!$P$39),"")</f>
        <v>47</v>
      </c>
      <c r="Q39">
        <f ca="1">IFERROR(IF(0=LEN(ReferenceData!$Q$39),"",ReferenceData!$Q$39),"")</f>
        <v>48</v>
      </c>
      <c r="R39">
        <f ca="1">IFERROR(IF(0=LEN(ReferenceData!$R$39),"",ReferenceData!$R$39),"")</f>
        <v>49</v>
      </c>
      <c r="S39">
        <f ca="1">IFERROR(IF(0=LEN(ReferenceData!$S$39),"",ReferenceData!$S$39),"")</f>
        <v>50</v>
      </c>
      <c r="T39">
        <f ca="1">IFERROR(IF(0=LEN(ReferenceData!$T$39),"",ReferenceData!$T$39),"")</f>
        <v>53</v>
      </c>
      <c r="U39">
        <f ca="1">IFERROR(IF(0=LEN(ReferenceData!$U$39),"",ReferenceData!$U$39),"")</f>
        <v>90</v>
      </c>
      <c r="V39">
        <f ca="1">IFERROR(IF(0=LEN(ReferenceData!$V$39),"",ReferenceData!$V$39),"")</f>
        <v>51</v>
      </c>
      <c r="W39">
        <f ca="1">IFERROR(IF(0=LEN(ReferenceData!$W$39),"",ReferenceData!$W$39),"")</f>
        <v>108</v>
      </c>
      <c r="X39">
        <f ca="1">IFERROR(IF(0=LEN(ReferenceData!$X$39),"",ReferenceData!$X$39),"")</f>
        <v>82</v>
      </c>
      <c r="Y39">
        <f ca="1">IFERROR(IF(0=LEN(ReferenceData!$Y$39),"",ReferenceData!$Y$39),"")</f>
        <v>68</v>
      </c>
      <c r="Z39">
        <f ca="1">IFERROR(IF(0=LEN(ReferenceData!$Z$39),"",ReferenceData!$Z$39),"")</f>
        <v>49</v>
      </c>
      <c r="AA39">
        <f ca="1">IFERROR(IF(0=LEN(ReferenceData!$AA$39),"",ReferenceData!$AA$39),"")</f>
        <v>56</v>
      </c>
      <c r="AB39">
        <f ca="1">IFERROR(IF(0=LEN(ReferenceData!$AB$39),"",ReferenceData!$AB$39),"")</f>
        <v>31</v>
      </c>
      <c r="AC39">
        <f ca="1">IFERROR(IF(0=LEN(ReferenceData!$AC$39),"",ReferenceData!$AC$39),"")</f>
        <v>27</v>
      </c>
      <c r="AD39">
        <f ca="1">IFERROR(IF(0=LEN(ReferenceData!$AD$39),"",ReferenceData!$AD$39),"")</f>
        <v>30</v>
      </c>
      <c r="AE39">
        <f ca="1">IFERROR(IF(0=LEN(ReferenceData!$AE$39),"",ReferenceData!$AE$39),"")</f>
        <v>32</v>
      </c>
      <c r="AF39">
        <f ca="1">IFERROR(IF(0=LEN(ReferenceData!$AF$39),"",ReferenceData!$AF$39),"")</f>
        <v>37</v>
      </c>
      <c r="AG39">
        <f ca="1">IFERROR(IF(0=LEN(ReferenceData!$AG$39),"",ReferenceData!$AG$39),"")</f>
        <v>38</v>
      </c>
      <c r="AH39">
        <f ca="1">IFERROR(IF(0=LEN(ReferenceData!$AH$39),"",ReferenceData!$AH$39),"")</f>
        <v>36</v>
      </c>
      <c r="AI39">
        <f ca="1">IFERROR(IF(0=LEN(ReferenceData!$AI$39),"",ReferenceData!$AI$39),"")</f>
        <v>32</v>
      </c>
      <c r="AJ39">
        <f ca="1">IFERROR(IF(0=LEN(ReferenceData!$AJ$39),"",ReferenceData!$AJ$39),"")</f>
        <v>40</v>
      </c>
      <c r="AK39">
        <f ca="1">IFERROR(IF(0=LEN(ReferenceData!$AK$39),"",ReferenceData!$AK$39),"")</f>
        <v>41</v>
      </c>
      <c r="AL39">
        <f ca="1">IFERROR(IF(0=LEN(ReferenceData!$AL$39),"",ReferenceData!$AL$39),"")</f>
        <v>43</v>
      </c>
      <c r="AM39">
        <f ca="1">IFERROR(IF(0=LEN(ReferenceData!$AM$39),"",ReferenceData!$AM$39),"")</f>
        <v>46</v>
      </c>
      <c r="AN39">
        <f ca="1">IFERROR(IF(0=LEN(ReferenceData!$AN$39),"",ReferenceData!$AN$39),"")</f>
        <v>46</v>
      </c>
      <c r="AO39">
        <f ca="1">IFERROR(IF(0=LEN(ReferenceData!$AO$39),"",ReferenceData!$AO$39),"")</f>
        <v>38</v>
      </c>
      <c r="AP39">
        <f ca="1">IFERROR(IF(0=LEN(ReferenceData!$AP$39),"",ReferenceData!$AP$39),"")</f>
        <v>37</v>
      </c>
      <c r="AQ39">
        <f ca="1">IFERROR(IF(0=LEN(ReferenceData!$AQ$39),"",ReferenceData!$AQ$39),"")</f>
        <v>39</v>
      </c>
      <c r="AR39">
        <f ca="1">IFERROR(IF(0=LEN(ReferenceData!$AR$39),"",ReferenceData!$AR$39),"")</f>
        <v>46</v>
      </c>
      <c r="AS39">
        <f ca="1">IFERROR(IF(0=LEN(ReferenceData!$AS$39),"",ReferenceData!$AS$39),"")</f>
        <v>40</v>
      </c>
      <c r="AT39">
        <f ca="1">IFERROR(IF(0=LEN(ReferenceData!$AT$39),"",ReferenceData!$AT$39),"")</f>
        <v>27</v>
      </c>
      <c r="AU39">
        <f ca="1">IFERROR(IF(0=LEN(ReferenceData!$AU$39),"",ReferenceData!$AU$39),"")</f>
        <v>39</v>
      </c>
      <c r="AV39">
        <f ca="1">IFERROR(IF(0=LEN(ReferenceData!$AV$39),"",ReferenceData!$AV$39),"")</f>
        <v>43</v>
      </c>
      <c r="AW39">
        <f ca="1">IFERROR(IF(0=LEN(ReferenceData!$AW$39),"",ReferenceData!$AW$39),"")</f>
        <v>40</v>
      </c>
      <c r="AX39">
        <f ca="1">IFERROR(IF(0=LEN(ReferenceData!$AX$39),"",ReferenceData!$AX$39),"")</f>
        <v>43</v>
      </c>
      <c r="AY39">
        <f ca="1">IFERROR(IF(0=LEN(ReferenceData!$AY$39),"",ReferenceData!$AY$39),"")</f>
        <v>52</v>
      </c>
      <c r="AZ39">
        <f ca="1">IFERROR(IF(0=LEN(ReferenceData!$AZ$39),"",ReferenceData!$AZ$39),"")</f>
        <v>69</v>
      </c>
      <c r="BA39">
        <f ca="1">IFERROR(IF(0=LEN(ReferenceData!$BA$39),"",ReferenceData!$BA$39),"")</f>
        <v>72</v>
      </c>
      <c r="BB39">
        <f ca="1">IFERROR(IF(0=LEN(ReferenceData!$BB$39),"",ReferenceData!$BB$39),"")</f>
        <v>90</v>
      </c>
      <c r="BC39">
        <f ca="1">IFERROR(IF(0=LEN(ReferenceData!$BC$39),"",ReferenceData!$BC$39),"")</f>
        <v>106</v>
      </c>
      <c r="BD39">
        <f ca="1">IFERROR(IF(0=LEN(ReferenceData!$BD$39),"",ReferenceData!$BD$39),"")</f>
        <v>90</v>
      </c>
      <c r="BE39">
        <f ca="1">IFERROR(IF(0=LEN(ReferenceData!$BE$39),"",ReferenceData!$BE$39),"")</f>
        <v>77</v>
      </c>
      <c r="BF39">
        <f ca="1">IFERROR(IF(0=LEN(ReferenceData!$BF$39),"",ReferenceData!$BF$39),"")</f>
        <v>57</v>
      </c>
      <c r="BG39">
        <f ca="1">IFERROR(IF(0=LEN(ReferenceData!$BG$39),"",ReferenceData!$BG$39),"")</f>
        <v>68</v>
      </c>
      <c r="BH39">
        <f ca="1">IFERROR(IF(0=LEN(ReferenceData!$BH$39),"",ReferenceData!$BH$39),"")</f>
        <v>50</v>
      </c>
      <c r="BI39">
        <f ca="1">IFERROR(IF(0=LEN(ReferenceData!$BI$39),"",ReferenceData!$BI$39),"")</f>
        <v>45</v>
      </c>
      <c r="BJ39">
        <f ca="1">IFERROR(IF(0=LEN(ReferenceData!$BJ$39),"",ReferenceData!$BJ$39),"")</f>
        <v>51</v>
      </c>
      <c r="BK39">
        <f ca="1">IFERROR(IF(0=LEN(ReferenceData!$BK$39),"",ReferenceData!$BK$39),"")</f>
        <v>66</v>
      </c>
      <c r="BL39">
        <f ca="1">IFERROR(IF(0=LEN(ReferenceData!$BL$39),"",ReferenceData!$BL$39),"")</f>
        <v>63</v>
      </c>
      <c r="BM39">
        <f ca="1">IFERROR(IF(0=LEN(ReferenceData!$BM$39),"",ReferenceData!$BM$39),"")</f>
        <v>67</v>
      </c>
    </row>
    <row r="40" spans="1:65">
      <c r="A40" t="str">
        <f>IFERROR(IF(0=LEN(ReferenceData!$A$40),"",ReferenceData!$A$40),"")</f>
        <v xml:space="preserve">    Truist Financial Corp</v>
      </c>
      <c r="B40" t="str">
        <f>IFERROR(IF(0=LEN(ReferenceData!$B$40),"",ReferenceData!$B$40),"")</f>
        <v>TFC US Equity</v>
      </c>
      <c r="C40" t="str">
        <f>IFERROR(IF(0=LEN(ReferenceData!$C$40),"",ReferenceData!$C$40),"")</f>
        <v>A0621</v>
      </c>
      <c r="D40" t="str">
        <f>IFERROR(IF(0=LEN(ReferenceData!$D$40),"",ReferenceData!$D$40),"")</f>
        <v>ARD_MORTGAGE_BANKING_REVENUE</v>
      </c>
      <c r="E40" t="str">
        <f>IFERROR(IF(0=LEN(ReferenceData!$E$40),"",ReferenceData!$E$40),"")</f>
        <v>Dynamic</v>
      </c>
      <c r="F40">
        <f ca="1">IFERROR(IF(0=LEN(ReferenceData!$F$40),"",ReferenceData!$F$40),"")</f>
        <v>117</v>
      </c>
      <c r="G40">
        <f ca="1">IFERROR(IF(0=LEN(ReferenceData!$G$40),"",ReferenceData!$G$40),"")</f>
        <v>106</v>
      </c>
      <c r="H40">
        <f ca="1">IFERROR(IF(0=LEN(ReferenceData!$H$40),"",ReferenceData!$H$40),"")</f>
        <v>112</v>
      </c>
      <c r="I40">
        <f ca="1">IFERROR(IF(0=LEN(ReferenceData!$I$40),"",ReferenceData!$I$40),"")</f>
        <v>97</v>
      </c>
      <c r="J40">
        <f ca="1">IFERROR(IF(0=LEN(ReferenceData!$J$40),"",ReferenceData!$J$40),"")</f>
        <v>94</v>
      </c>
      <c r="K40">
        <f ca="1">IFERROR(IF(0=LEN(ReferenceData!$K$40),"",ReferenceData!$K$40),"")</f>
        <v>102</v>
      </c>
      <c r="L40">
        <f ca="1">IFERROR(IF(0=LEN(ReferenceData!$L$40),"",ReferenceData!$L$40),"")</f>
        <v>99</v>
      </c>
      <c r="M40">
        <f ca="1">IFERROR(IF(0=LEN(ReferenceData!$M$40),"",ReferenceData!$M$40),"")</f>
        <v>142</v>
      </c>
      <c r="N40">
        <f ca="1">IFERROR(IF(0=LEN(ReferenceData!$N$40),"",ReferenceData!$N$40),"")</f>
        <v>117</v>
      </c>
      <c r="O40">
        <f ca="1">IFERROR(IF(0=LEN(ReferenceData!$O$40),"",ReferenceData!$O$40),"")</f>
        <v>122</v>
      </c>
      <c r="P40">
        <f ca="1">IFERROR(IF(0=LEN(ReferenceData!$P$40),"",ReferenceData!$P$40),"")</f>
        <v>74</v>
      </c>
      <c r="Q40">
        <f ca="1">IFERROR(IF(0=LEN(ReferenceData!$Q$40),"",ReferenceData!$Q$40),"")</f>
        <v>89</v>
      </c>
      <c r="R40">
        <f ca="1">IFERROR(IF(0=LEN(ReferenceData!$R$40),"",ReferenceData!$R$40),"")</f>
        <v>159</v>
      </c>
      <c r="S40">
        <f ca="1">IFERROR(IF(0=LEN(ReferenceData!$S$40),"",ReferenceData!$S$40),"")</f>
        <v>179</v>
      </c>
      <c r="T40">
        <f ca="1">IFERROR(IF(0=LEN(ReferenceData!$T$40),"",ReferenceData!$T$40),"")</f>
        <v>117</v>
      </c>
      <c r="U40">
        <f ca="1">IFERROR(IF(0=LEN(ReferenceData!$U$40),"",ReferenceData!$U$40),"")</f>
        <v>100</v>
      </c>
      <c r="V40" t="str">
        <f ca="1">IFERROR(IF(0=LEN(ReferenceData!$V$40),"",ReferenceData!$V$40),"")</f>
        <v/>
      </c>
      <c r="W40">
        <f ca="1">IFERROR(IF(0=LEN(ReferenceData!$W$40),"",ReferenceData!$W$40),"")</f>
        <v>221</v>
      </c>
      <c r="X40">
        <f ca="1">IFERROR(IF(0=LEN(ReferenceData!$X$40),"",ReferenceData!$X$40),"")</f>
        <v>341</v>
      </c>
      <c r="Y40">
        <f ca="1">IFERROR(IF(0=LEN(ReferenceData!$Y$40),"",ReferenceData!$Y$40),"")</f>
        <v>245</v>
      </c>
      <c r="Z40">
        <f ca="1">IFERROR(IF(0=LEN(ReferenceData!$Z$40),"",ReferenceData!$Z$40),"")</f>
        <v>65</v>
      </c>
      <c r="AA40">
        <f ca="1">IFERROR(IF(0=LEN(ReferenceData!$AA$40),"",ReferenceData!$AA$40),"")</f>
        <v>80</v>
      </c>
      <c r="AB40">
        <f ca="1">IFERROR(IF(0=LEN(ReferenceData!$AB$40),"",ReferenceData!$AB$40),"")</f>
        <v>91</v>
      </c>
      <c r="AC40">
        <f ca="1">IFERROR(IF(0=LEN(ReferenceData!$AC$40),"",ReferenceData!$AC$40),"")</f>
        <v>49</v>
      </c>
      <c r="AD40">
        <f ca="1">IFERROR(IF(0=LEN(ReferenceData!$AD$40),"",ReferenceData!$AD$40),"")</f>
        <v>58</v>
      </c>
      <c r="AE40">
        <f ca="1">IFERROR(IF(0=LEN(ReferenceData!$AE$40),"",ReferenceData!$AE$40),"")</f>
        <v>79</v>
      </c>
      <c r="AF40">
        <f ca="1">IFERROR(IF(0=LEN(ReferenceData!$AF$40),"",ReferenceData!$AF$40),"")</f>
        <v>94</v>
      </c>
      <c r="AG40">
        <f ca="1">IFERROR(IF(0=LEN(ReferenceData!$AG$40),"",ReferenceData!$AG$40),"")</f>
        <v>99</v>
      </c>
      <c r="AH40">
        <f ca="1">IFERROR(IF(0=LEN(ReferenceData!$AH$40),"",ReferenceData!$AH$40),"")</f>
        <v>104</v>
      </c>
      <c r="AI40">
        <f ca="1">IFERROR(IF(0=LEN(ReferenceData!$AI$40),"",ReferenceData!$AI$40),"")</f>
        <v>114</v>
      </c>
      <c r="AJ40">
        <f ca="1">IFERROR(IF(0=LEN(ReferenceData!$AJ$40),"",ReferenceData!$AJ$40),"")</f>
        <v>94</v>
      </c>
      <c r="AK40">
        <f ca="1">IFERROR(IF(0=LEN(ReferenceData!$AK$40),"",ReferenceData!$AK$40),"")</f>
        <v>103</v>
      </c>
      <c r="AL40">
        <f ca="1">IFERROR(IF(0=LEN(ReferenceData!$AL$40),"",ReferenceData!$AL$40),"")</f>
        <v>107</v>
      </c>
      <c r="AM40">
        <f ca="1">IFERROR(IF(0=LEN(ReferenceData!$AM$40),"",ReferenceData!$AM$40),"")</f>
        <v>154</v>
      </c>
      <c r="AN40">
        <f ca="1">IFERROR(IF(0=LEN(ReferenceData!$AN$40),"",ReferenceData!$AN$40),"")</f>
        <v>111</v>
      </c>
      <c r="AO40">
        <f ca="1">IFERROR(IF(0=LEN(ReferenceData!$AO$40),"",ReferenceData!$AO$40),"")</f>
        <v>91</v>
      </c>
      <c r="AP40">
        <f ca="1">IFERROR(IF(0=LEN(ReferenceData!$AP$40),"",ReferenceData!$AP$40),"")</f>
        <v>104</v>
      </c>
      <c r="AQ40">
        <f ca="1">IFERROR(IF(0=LEN(ReferenceData!$AQ$40),"",ReferenceData!$AQ$40),"")</f>
        <v>111</v>
      </c>
      <c r="AR40">
        <f ca="1">IFERROR(IF(0=LEN(ReferenceData!$AR$40),"",ReferenceData!$AR$40),"")</f>
        <v>130</v>
      </c>
      <c r="AS40">
        <f ca="1">IFERROR(IF(0=LEN(ReferenceData!$AS$40),"",ReferenceData!$AS$40),"")</f>
        <v>110</v>
      </c>
      <c r="AT40">
        <f ca="1">IFERROR(IF(0=LEN(ReferenceData!$AT$40),"",ReferenceData!$AT$40),"")</f>
        <v>128</v>
      </c>
      <c r="AU40">
        <f ca="1">IFERROR(IF(0=LEN(ReferenceData!$AU$40),"",ReferenceData!$AU$40),"")</f>
        <v>107</v>
      </c>
      <c r="AV40">
        <f ca="1">IFERROR(IF(0=LEN(ReferenceData!$AV$40),"",ReferenceData!$AV$40),"")</f>
        <v>86</v>
      </c>
      <c r="AW40">
        <f ca="1">IFERROR(IF(0=LEN(ReferenceData!$AW$40),"",ReferenceData!$AW$40),"")</f>
        <v>74</v>
      </c>
      <c r="AX40">
        <f ca="1">IFERROR(IF(0=LEN(ReferenceData!$AX$40),"",ReferenceData!$AX$40),"")</f>
        <v>100</v>
      </c>
      <c r="AY40">
        <f ca="1">IFERROR(IF(0=LEN(ReferenceData!$AY$40),"",ReferenceData!$AY$40),"")</f>
        <v>117</v>
      </c>
      <c r="AZ40">
        <f ca="1">IFERROR(IF(0=LEN(ReferenceData!$AZ$40),"",ReferenceData!$AZ$40),"")</f>
        <v>168</v>
      </c>
      <c r="BA40">
        <f ca="1">IFERROR(IF(0=LEN(ReferenceData!$BA$40),"",ReferenceData!$BA$40),"")</f>
        <v>180</v>
      </c>
      <c r="BB40">
        <f ca="1">IFERROR(IF(0=LEN(ReferenceData!$BB$40),"",ReferenceData!$BB$40),"")</f>
        <v>231</v>
      </c>
      <c r="BC40">
        <f ca="1">IFERROR(IF(0=LEN(ReferenceData!$BC$40),"",ReferenceData!$BC$40),"")</f>
        <v>211</v>
      </c>
      <c r="BD40">
        <f ca="1">IFERROR(IF(0=LEN(ReferenceData!$BD$40),"",ReferenceData!$BD$40),"")</f>
        <v>182</v>
      </c>
      <c r="BE40">
        <f ca="1">IFERROR(IF(0=LEN(ReferenceData!$BE$40),"",ReferenceData!$BE$40),"")</f>
        <v>216</v>
      </c>
      <c r="BF40">
        <f ca="1">IFERROR(IF(0=LEN(ReferenceData!$BF$40),"",ReferenceData!$BF$40),"")</f>
        <v>135</v>
      </c>
      <c r="BG40">
        <f ca="1">IFERROR(IF(0=LEN(ReferenceData!$BG$40),"",ReferenceData!$BG$40),"")</f>
        <v>123</v>
      </c>
      <c r="BH40">
        <f ca="1">IFERROR(IF(0=LEN(ReferenceData!$BH$40),"",ReferenceData!$BH$40),"")</f>
        <v>83</v>
      </c>
      <c r="BI40">
        <f ca="1">IFERROR(IF(0=LEN(ReferenceData!$BI$40),"",ReferenceData!$BI$40),"")</f>
        <v>95</v>
      </c>
      <c r="BJ40">
        <f ca="1">IFERROR(IF(0=LEN(ReferenceData!$BJ$40),"",ReferenceData!$BJ$40),"")</f>
        <v>138</v>
      </c>
      <c r="BK40">
        <f ca="1">IFERROR(IF(0=LEN(ReferenceData!$BK$40),"",ReferenceData!$BK$40),"")</f>
        <v>184</v>
      </c>
      <c r="BL40">
        <f ca="1">IFERROR(IF(0=LEN(ReferenceData!$BL$40),"",ReferenceData!$BL$40),"")</f>
        <v>110</v>
      </c>
      <c r="BM40" t="str">
        <f ca="1">IFERROR(IF(0=LEN(ReferenceData!$BM$40),"",ReferenceData!$BM$40),"")</f>
        <v/>
      </c>
    </row>
    <row r="41" spans="1:65">
      <c r="A41" t="str">
        <f>IFERROR(IF(0=LEN(ReferenceData!$A$41),"",ReferenceData!$A$41),"")</f>
        <v xml:space="preserve">    US Bancorp</v>
      </c>
      <c r="B41" t="str">
        <f>IFERROR(IF(0=LEN(ReferenceData!$B$41),"",ReferenceData!$B$41),"")</f>
        <v>USB US Equity</v>
      </c>
      <c r="C41" t="str">
        <f>IFERROR(IF(0=LEN(ReferenceData!$C$41),"",ReferenceData!$C$41),"")</f>
        <v>A0621</v>
      </c>
      <c r="D41" t="str">
        <f>IFERROR(IF(0=LEN(ReferenceData!$D$41),"",ReferenceData!$D$41),"")</f>
        <v>ARD_MORTGAGE_BANKING_REVENUE</v>
      </c>
      <c r="E41" t="str">
        <f>IFERROR(IF(0=LEN(ReferenceData!$E$41),"",ReferenceData!$E$41),"")</f>
        <v>Dynamic</v>
      </c>
      <c r="F41">
        <f ca="1">IFERROR(IF(0=LEN(ReferenceData!$F$41),"",ReferenceData!$F$41),"")</f>
        <v>116</v>
      </c>
      <c r="G41">
        <f ca="1">IFERROR(IF(0=LEN(ReferenceData!$G$41),"",ReferenceData!$G$41),"")</f>
        <v>155</v>
      </c>
      <c r="H41">
        <f ca="1">IFERROR(IF(0=LEN(ReferenceData!$H$41),"",ReferenceData!$H$41),"")</f>
        <v>190</v>
      </c>
      <c r="I41">
        <f ca="1">IFERROR(IF(0=LEN(ReferenceData!$I$41),"",ReferenceData!$I$41),"")</f>
        <v>166</v>
      </c>
      <c r="J41">
        <f ca="1">IFERROR(IF(0=LEN(ReferenceData!$J$41),"",ReferenceData!$J$41),"")</f>
        <v>137</v>
      </c>
      <c r="K41">
        <f ca="1">IFERROR(IF(0=LEN(ReferenceData!$K$41),"",ReferenceData!$K$41),"")</f>
        <v>144</v>
      </c>
      <c r="L41">
        <f ca="1">IFERROR(IF(0=LEN(ReferenceData!$L$41),"",ReferenceData!$L$41),"")</f>
        <v>131</v>
      </c>
      <c r="M41">
        <f ca="1">IFERROR(IF(0=LEN(ReferenceData!$M$41),"",ReferenceData!$M$41),"")</f>
        <v>128</v>
      </c>
      <c r="N41">
        <f ca="1">IFERROR(IF(0=LEN(ReferenceData!$N$41),"",ReferenceData!$N$41),"")</f>
        <v>104</v>
      </c>
      <c r="O41">
        <f ca="1">IFERROR(IF(0=LEN(ReferenceData!$O$41),"",ReferenceData!$O$41),"")</f>
        <v>81</v>
      </c>
      <c r="P41">
        <f ca="1">IFERROR(IF(0=LEN(ReferenceData!$P$41),"",ReferenceData!$P$41),"")</f>
        <v>142</v>
      </c>
      <c r="Q41">
        <f ca="1">IFERROR(IF(0=LEN(ReferenceData!$Q$41),"",ReferenceData!$Q$41),"")</f>
        <v>200</v>
      </c>
      <c r="R41">
        <f ca="1">IFERROR(IF(0=LEN(ReferenceData!$R$41),"",ReferenceData!$R$41),"")</f>
        <v>298</v>
      </c>
      <c r="S41">
        <f ca="1">IFERROR(IF(0=LEN(ReferenceData!$S$41),"",ReferenceData!$S$41),"")</f>
        <v>418</v>
      </c>
      <c r="T41">
        <f ca="1">IFERROR(IF(0=LEN(ReferenceData!$T$41),"",ReferenceData!$T$41),"")</f>
        <v>346</v>
      </c>
      <c r="U41">
        <f ca="1">IFERROR(IF(0=LEN(ReferenceData!$U$41),"",ReferenceData!$U$41),"")</f>
        <v>299</v>
      </c>
      <c r="V41">
        <f ca="1">IFERROR(IF(0=LEN(ReferenceData!$V$41),"",ReferenceData!$V$41),"")</f>
        <v>468</v>
      </c>
      <c r="W41">
        <f ca="1">IFERROR(IF(0=LEN(ReferenceData!$W$41),"",ReferenceData!$W$41),"")</f>
        <v>553</v>
      </c>
      <c r="X41">
        <f ca="1">IFERROR(IF(0=LEN(ReferenceData!$X$41),"",ReferenceData!$X$41),"")</f>
        <v>648</v>
      </c>
      <c r="Y41">
        <f ca="1">IFERROR(IF(0=LEN(ReferenceData!$Y$41),"",ReferenceData!$Y$41),"")</f>
        <v>395</v>
      </c>
      <c r="Z41">
        <f ca="1">IFERROR(IF(0=LEN(ReferenceData!$Z$41),"",ReferenceData!$Z$41),"")</f>
        <v>244</v>
      </c>
      <c r="AA41">
        <f ca="1">IFERROR(IF(0=LEN(ReferenceData!$AA$41),"",ReferenceData!$AA$41),"")</f>
        <v>272</v>
      </c>
      <c r="AB41">
        <f ca="1">IFERROR(IF(0=LEN(ReferenceData!$AB$41),"",ReferenceData!$AB$41),"")</f>
        <v>189</v>
      </c>
      <c r="AC41">
        <f ca="1">IFERROR(IF(0=LEN(ReferenceData!$AC$41),"",ReferenceData!$AC$41),"")</f>
        <v>169</v>
      </c>
      <c r="AD41">
        <f ca="1">IFERROR(IF(0=LEN(ReferenceData!$AD$41),"",ReferenceData!$AD$41),"")</f>
        <v>171</v>
      </c>
      <c r="AE41">
        <f ca="1">IFERROR(IF(0=LEN(ReferenceData!$AE$41),"",ReferenceData!$AE$41),"")</f>
        <v>174</v>
      </c>
      <c r="AF41">
        <f ca="1">IFERROR(IF(0=LEN(ReferenceData!$AF$41),"",ReferenceData!$AF$41),"")</f>
        <v>191</v>
      </c>
      <c r="AG41">
        <f ca="1">IFERROR(IF(0=LEN(ReferenceData!$AG$41),"",ReferenceData!$AG$41),"")</f>
        <v>184</v>
      </c>
      <c r="AH41">
        <f ca="1">IFERROR(IF(0=LEN(ReferenceData!$AH$41),"",ReferenceData!$AH$41),"")</f>
        <v>202</v>
      </c>
      <c r="AI41">
        <f ca="1">IFERROR(IF(0=LEN(ReferenceData!$AI$41),"",ReferenceData!$AI$41),"")</f>
        <v>213</v>
      </c>
      <c r="AJ41">
        <f ca="1">IFERROR(IF(0=LEN(ReferenceData!$AJ$41),"",ReferenceData!$AJ$41),"")</f>
        <v>212</v>
      </c>
      <c r="AK41">
        <f ca="1">IFERROR(IF(0=LEN(ReferenceData!$AK$41),"",ReferenceData!$AK$41),"")</f>
        <v>207</v>
      </c>
      <c r="AL41">
        <f ca="1">IFERROR(IF(0=LEN(ReferenceData!$AL$41),"",ReferenceData!$AL$41),"")</f>
        <v>240</v>
      </c>
      <c r="AM41">
        <f ca="1">IFERROR(IF(0=LEN(ReferenceData!$AM$41),"",ReferenceData!$AM$41),"")</f>
        <v>314</v>
      </c>
      <c r="AN41">
        <f ca="1">IFERROR(IF(0=LEN(ReferenceData!$AN$41),"",ReferenceData!$AN$41),"")</f>
        <v>238</v>
      </c>
      <c r="AO41">
        <f ca="1">IFERROR(IF(0=LEN(ReferenceData!$AO$41),"",ReferenceData!$AO$41),"")</f>
        <v>187</v>
      </c>
      <c r="AP41">
        <f ca="1">IFERROR(IF(0=LEN(ReferenceData!$AP$41),"",ReferenceData!$AP$41),"")</f>
        <v>211</v>
      </c>
      <c r="AQ41">
        <f ca="1">IFERROR(IF(0=LEN(ReferenceData!$AQ$41),"",ReferenceData!$AQ$41),"")</f>
        <v>224</v>
      </c>
      <c r="AR41">
        <f ca="1">IFERROR(IF(0=LEN(ReferenceData!$AR$41),"",ReferenceData!$AR$41),"")</f>
        <v>231</v>
      </c>
      <c r="AS41">
        <f ca="1">IFERROR(IF(0=LEN(ReferenceData!$AS$41),"",ReferenceData!$AS$41),"")</f>
        <v>240</v>
      </c>
      <c r="AT41">
        <f ca="1">IFERROR(IF(0=LEN(ReferenceData!$AT$41),"",ReferenceData!$AT$41),"")</f>
        <v>235</v>
      </c>
      <c r="AU41">
        <f ca="1">IFERROR(IF(0=LEN(ReferenceData!$AU$41),"",ReferenceData!$AU$41),"")</f>
        <v>260</v>
      </c>
      <c r="AV41">
        <f ca="1">IFERROR(IF(0=LEN(ReferenceData!$AV$41),"",ReferenceData!$AV$41),"")</f>
        <v>278</v>
      </c>
      <c r="AW41">
        <f ca="1">IFERROR(IF(0=LEN(ReferenceData!$AW$41),"",ReferenceData!$AW$41),"")</f>
        <v>236</v>
      </c>
      <c r="AX41">
        <f ca="1">IFERROR(IF(0=LEN(ReferenceData!$AX$41),"",ReferenceData!$AX$41),"")</f>
        <v>231</v>
      </c>
      <c r="AY41">
        <f ca="1">IFERROR(IF(0=LEN(ReferenceData!$AY$41),"",ReferenceData!$AY$41),"")</f>
        <v>328</v>
      </c>
      <c r="AZ41">
        <f ca="1">IFERROR(IF(0=LEN(ReferenceData!$AZ$41),"",ReferenceData!$AZ$41),"")</f>
        <v>396</v>
      </c>
      <c r="BA41">
        <f ca="1">IFERROR(IF(0=LEN(ReferenceData!$BA$41),"",ReferenceData!$BA$41),"")</f>
        <v>401</v>
      </c>
      <c r="BB41">
        <f ca="1">IFERROR(IF(0=LEN(ReferenceData!$BB$41),"",ReferenceData!$BB$41),"")</f>
        <v>476</v>
      </c>
      <c r="BC41">
        <f ca="1">IFERROR(IF(0=LEN(ReferenceData!$BC$41),"",ReferenceData!$BC$41),"")</f>
        <v>519</v>
      </c>
      <c r="BD41">
        <f ca="1">IFERROR(IF(0=LEN(ReferenceData!$BD$41),"",ReferenceData!$BD$41),"")</f>
        <v>490</v>
      </c>
      <c r="BE41">
        <f ca="1">IFERROR(IF(0=LEN(ReferenceData!$BE$41),"",ReferenceData!$BE$41),"")</f>
        <v>452</v>
      </c>
      <c r="BF41">
        <f ca="1">IFERROR(IF(0=LEN(ReferenceData!$BF$41),"",ReferenceData!$BF$41),"")</f>
        <v>303</v>
      </c>
      <c r="BG41">
        <f ca="1">IFERROR(IF(0=LEN(ReferenceData!$BG$41),"",ReferenceData!$BG$41),"")</f>
        <v>245</v>
      </c>
      <c r="BH41">
        <f ca="1">IFERROR(IF(0=LEN(ReferenceData!$BH$41),"",ReferenceData!$BH$41),"")</f>
        <v>239</v>
      </c>
      <c r="BI41">
        <f ca="1">IFERROR(IF(0=LEN(ReferenceData!$BI$41),"",ReferenceData!$BI$41),"")</f>
        <v>199</v>
      </c>
      <c r="BJ41">
        <f ca="1">IFERROR(IF(0=LEN(ReferenceData!$BJ$41),"",ReferenceData!$BJ$41),"")</f>
        <v>250</v>
      </c>
      <c r="BK41">
        <f ca="1">IFERROR(IF(0=LEN(ReferenceData!$BK$41),"",ReferenceData!$BK$41),"")</f>
        <v>310</v>
      </c>
      <c r="BL41">
        <f ca="1">IFERROR(IF(0=LEN(ReferenceData!$BL$41),"",ReferenceData!$BL$41),"")</f>
        <v>243</v>
      </c>
      <c r="BM41" t="str">
        <f ca="1">IFERROR(IF(0=LEN(ReferenceData!$BM$41),"",ReferenceData!$BM$41),"")</f>
        <v/>
      </c>
    </row>
    <row r="42" spans="1:65">
      <c r="A42" t="str">
        <f>IFERROR(IF(0=LEN(ReferenceData!$A$42),"",ReferenceData!$A$42),"")</f>
        <v xml:space="preserve">    Wells Fargo &amp; Co</v>
      </c>
      <c r="B42" t="str">
        <f>IFERROR(IF(0=LEN(ReferenceData!$B$42),"",ReferenceData!$B$42),"")</f>
        <v>WFC US Equity</v>
      </c>
      <c r="C42" t="str">
        <f>IFERROR(IF(0=LEN(ReferenceData!$C$42),"",ReferenceData!$C$42),"")</f>
        <v>A0621</v>
      </c>
      <c r="D42" t="str">
        <f>IFERROR(IF(0=LEN(ReferenceData!$D$42),"",ReferenceData!$D$42),"")</f>
        <v>ARD_MORTGAGE_BANKING_REVENUE</v>
      </c>
      <c r="E42" t="str">
        <f>IFERROR(IF(0=LEN(ReferenceData!$E$42),"",ReferenceData!$E$42),"")</f>
        <v>Dynamic</v>
      </c>
      <c r="F42">
        <f ca="1">IFERROR(IF(0=LEN(ReferenceData!$F$42),"",ReferenceData!$F$42),"")</f>
        <v>294</v>
      </c>
      <c r="G42">
        <f ca="1">IFERROR(IF(0=LEN(ReferenceData!$G$42),"",ReferenceData!$G$42),"")</f>
        <v>280</v>
      </c>
      <c r="H42">
        <f ca="1">IFERROR(IF(0=LEN(ReferenceData!$H$42),"",ReferenceData!$H$42),"")</f>
        <v>243</v>
      </c>
      <c r="I42">
        <f ca="1">IFERROR(IF(0=LEN(ReferenceData!$I$42),"",ReferenceData!$I$42),"")</f>
        <v>230</v>
      </c>
      <c r="J42">
        <f ca="1">IFERROR(IF(0=LEN(ReferenceData!$J$42),"",ReferenceData!$J$42),"")</f>
        <v>202</v>
      </c>
      <c r="K42">
        <f ca="1">IFERROR(IF(0=LEN(ReferenceData!$K$42),"",ReferenceData!$K$42),"")</f>
        <v>193</v>
      </c>
      <c r="L42">
        <f ca="1">IFERROR(IF(0=LEN(ReferenceData!$L$42),"",ReferenceData!$L$42),"")</f>
        <v>202</v>
      </c>
      <c r="M42">
        <f ca="1">IFERROR(IF(0=LEN(ReferenceData!$M$42),"",ReferenceData!$M$42),"")</f>
        <v>232</v>
      </c>
      <c r="N42">
        <f ca="1">IFERROR(IF(0=LEN(ReferenceData!$N$42),"",ReferenceData!$N$42),"")</f>
        <v>79</v>
      </c>
      <c r="O42">
        <f ca="1">IFERROR(IF(0=LEN(ReferenceData!$O$42),"",ReferenceData!$O$42),"")</f>
        <v>324</v>
      </c>
      <c r="P42">
        <f ca="1">IFERROR(IF(0=LEN(ReferenceData!$P$42),"",ReferenceData!$P$42),"")</f>
        <v>287</v>
      </c>
      <c r="Q42">
        <f ca="1">IFERROR(IF(0=LEN(ReferenceData!$Q$42),"",ReferenceData!$Q$42),"")</f>
        <v>693</v>
      </c>
      <c r="R42">
        <f ca="1">IFERROR(IF(0=LEN(ReferenceData!$R$42),"",ReferenceData!$R$42),"")</f>
        <v>1035</v>
      </c>
      <c r="S42">
        <f ca="1">IFERROR(IF(0=LEN(ReferenceData!$S$42),"",ReferenceData!$S$42),"")</f>
        <v>1259</v>
      </c>
      <c r="T42">
        <f ca="1">IFERROR(IF(0=LEN(ReferenceData!$T$42),"",ReferenceData!$T$42),"")</f>
        <v>1336</v>
      </c>
      <c r="U42">
        <f ca="1">IFERROR(IF(0=LEN(ReferenceData!$U$42),"",ReferenceData!$U$42),"")</f>
        <v>1326</v>
      </c>
      <c r="V42">
        <f ca="1">IFERROR(IF(0=LEN(ReferenceData!$V$42),"",ReferenceData!$V$42),"")</f>
        <v>1207</v>
      </c>
      <c r="W42">
        <f ca="1">IFERROR(IF(0=LEN(ReferenceData!$W$42),"",ReferenceData!$W$42),"")</f>
        <v>1590</v>
      </c>
      <c r="X42">
        <f ca="1">IFERROR(IF(0=LEN(ReferenceData!$X$42),"",ReferenceData!$X$42),"")</f>
        <v>317</v>
      </c>
      <c r="Y42">
        <f ca="1">IFERROR(IF(0=LEN(ReferenceData!$Y$42),"",ReferenceData!$Y$42),"")</f>
        <v>379</v>
      </c>
      <c r="Z42">
        <f ca="1">IFERROR(IF(0=LEN(ReferenceData!$Z$42),"",ReferenceData!$Z$42),"")</f>
        <v>783</v>
      </c>
      <c r="AA42">
        <f ca="1">IFERROR(IF(0=LEN(ReferenceData!$AA$42),"",ReferenceData!$AA$42),"")</f>
        <v>466</v>
      </c>
      <c r="AB42">
        <f ca="1">IFERROR(IF(0=LEN(ReferenceData!$AB$42),"",ReferenceData!$AB$42),"")</f>
        <v>758</v>
      </c>
      <c r="AC42">
        <f ca="1">IFERROR(IF(0=LEN(ReferenceData!$AC$42),"",ReferenceData!$AC$42),"")</f>
        <v>708</v>
      </c>
      <c r="AD42">
        <f ca="1">IFERROR(IF(0=LEN(ReferenceData!$AD$42),"",ReferenceData!$AD$42),"")</f>
        <v>467</v>
      </c>
      <c r="AE42">
        <f ca="1">IFERROR(IF(0=LEN(ReferenceData!$AE$42),"",ReferenceData!$AE$42),"")</f>
        <v>846</v>
      </c>
      <c r="AF42">
        <f ca="1">IFERROR(IF(0=LEN(ReferenceData!$AF$42),"",ReferenceData!$AF$42),"")</f>
        <v>770</v>
      </c>
      <c r="AG42">
        <f ca="1">IFERROR(IF(0=LEN(ReferenceData!$AG$42),"",ReferenceData!$AG$42),"")</f>
        <v>934</v>
      </c>
      <c r="AH42">
        <f ca="1">IFERROR(IF(0=LEN(ReferenceData!$AH$42),"",ReferenceData!$AH$42),"")</f>
        <v>928</v>
      </c>
      <c r="AI42">
        <f ca="1">IFERROR(IF(0=LEN(ReferenceData!$AI$42),"",ReferenceData!$AI$42),"")</f>
        <v>1046</v>
      </c>
      <c r="AJ42">
        <f ca="1">IFERROR(IF(0=LEN(ReferenceData!$AJ$42),"",ReferenceData!$AJ$42),"")</f>
        <v>1148</v>
      </c>
      <c r="AK42">
        <f ca="1">IFERROR(IF(0=LEN(ReferenceData!$AK$42),"",ReferenceData!$AK$42),"")</f>
        <v>1228</v>
      </c>
      <c r="AL42">
        <f ca="1">IFERROR(IF(0=LEN(ReferenceData!$AL$42),"",ReferenceData!$AL$42),"")</f>
        <v>1417</v>
      </c>
      <c r="AM42">
        <f ca="1">IFERROR(IF(0=LEN(ReferenceData!$AM$42),"",ReferenceData!$AM$42),"")</f>
        <v>1667</v>
      </c>
      <c r="AN42">
        <f ca="1">IFERROR(IF(0=LEN(ReferenceData!$AN$42),"",ReferenceData!$AN$42),"")</f>
        <v>1414</v>
      </c>
      <c r="AO42">
        <f ca="1">IFERROR(IF(0=LEN(ReferenceData!$AO$42),"",ReferenceData!$AO$42),"")</f>
        <v>1598</v>
      </c>
      <c r="AP42">
        <f ca="1">IFERROR(IF(0=LEN(ReferenceData!$AP$42),"",ReferenceData!$AP$42),"")</f>
        <v>1660</v>
      </c>
      <c r="AQ42">
        <f ca="1">IFERROR(IF(0=LEN(ReferenceData!$AQ$42),"",ReferenceData!$AQ$42),"")</f>
        <v>1589</v>
      </c>
      <c r="AR42">
        <f ca="1">IFERROR(IF(0=LEN(ReferenceData!$AR$42),"",ReferenceData!$AR$42),"")</f>
        <v>1705</v>
      </c>
      <c r="AS42">
        <f ca="1">IFERROR(IF(0=LEN(ReferenceData!$AS$42),"",ReferenceData!$AS$42),"")</f>
        <v>1547</v>
      </c>
      <c r="AT42">
        <f ca="1">IFERROR(IF(0=LEN(ReferenceData!$AT$42),"",ReferenceData!$AT$42),"")</f>
        <v>1515</v>
      </c>
      <c r="AU42">
        <f ca="1">IFERROR(IF(0=LEN(ReferenceData!$AU$42),"",ReferenceData!$AU$42),"")</f>
        <v>1633</v>
      </c>
      <c r="AV42">
        <f ca="1">IFERROR(IF(0=LEN(ReferenceData!$AV$42),"",ReferenceData!$AV$42),"")</f>
        <v>1723</v>
      </c>
      <c r="AW42">
        <f ca="1">IFERROR(IF(0=LEN(ReferenceData!$AW$42),"",ReferenceData!$AW$42),"")</f>
        <v>1510</v>
      </c>
      <c r="AX42">
        <f ca="1">IFERROR(IF(0=LEN(ReferenceData!$AX$42),"",ReferenceData!$AX$42),"")</f>
        <v>1570</v>
      </c>
      <c r="AY42">
        <f ca="1">IFERROR(IF(0=LEN(ReferenceData!$AY$42),"",ReferenceData!$AY$42),"")</f>
        <v>1608</v>
      </c>
      <c r="AZ42">
        <f ca="1">IFERROR(IF(0=LEN(ReferenceData!$AZ$42),"",ReferenceData!$AZ$42),"")</f>
        <v>2802</v>
      </c>
      <c r="BA42">
        <f ca="1">IFERROR(IF(0=LEN(ReferenceData!$BA$42),"",ReferenceData!$BA$42),"")</f>
        <v>2794</v>
      </c>
      <c r="BB42">
        <f ca="1">IFERROR(IF(0=LEN(ReferenceData!$BB$42),"",ReferenceData!$BB$42),"")</f>
        <v>3068</v>
      </c>
      <c r="BC42">
        <f ca="1">IFERROR(IF(0=LEN(ReferenceData!$BC$42),"",ReferenceData!$BC$42),"")</f>
        <v>2807</v>
      </c>
      <c r="BD42">
        <f ca="1">IFERROR(IF(0=LEN(ReferenceData!$BD$42),"",ReferenceData!$BD$42),"")</f>
        <v>2893</v>
      </c>
      <c r="BE42">
        <f ca="1">IFERROR(IF(0=LEN(ReferenceData!$BE$42),"",ReferenceData!$BE$42),"")</f>
        <v>2870</v>
      </c>
      <c r="BF42">
        <f ca="1">IFERROR(IF(0=LEN(ReferenceData!$BF$42),"",ReferenceData!$BF$42),"")</f>
        <v>2364</v>
      </c>
      <c r="BG42">
        <f ca="1">IFERROR(IF(0=LEN(ReferenceData!$BG$42),"",ReferenceData!$BG$42),"")</f>
        <v>1833</v>
      </c>
      <c r="BH42">
        <f ca="1">IFERROR(IF(0=LEN(ReferenceData!$BH$42),"",ReferenceData!$BH$42),"")</f>
        <v>1619</v>
      </c>
      <c r="BI42">
        <f ca="1">IFERROR(IF(0=LEN(ReferenceData!$BI$42),"",ReferenceData!$BI$42),"")</f>
        <v>2016</v>
      </c>
      <c r="BJ42">
        <f ca="1">IFERROR(IF(0=LEN(ReferenceData!$BJ$42),"",ReferenceData!$BJ$42),"")</f>
        <v>2757</v>
      </c>
      <c r="BK42">
        <f ca="1">IFERROR(IF(0=LEN(ReferenceData!$BK$42),"",ReferenceData!$BK$42),"")</f>
        <v>2499</v>
      </c>
      <c r="BL42">
        <f ca="1">IFERROR(IF(0=LEN(ReferenceData!$BL$42),"",ReferenceData!$BL$42),"")</f>
        <v>2011</v>
      </c>
      <c r="BM42" t="str">
        <f ca="1">IFERROR(IF(0=LEN(ReferenceData!$BM$42),"",ReferenceData!$BM$42),"")</f>
        <v/>
      </c>
    </row>
    <row r="43" spans="1:65">
      <c r="A43" t="str">
        <f>IFERROR(IF(0=LEN(ReferenceData!$A$43),"",ReferenceData!$A$43),"")</f>
        <v xml:space="preserve">    Western Alliance Bancorp</v>
      </c>
      <c r="B43" t="str">
        <f>IFERROR(IF(0=LEN(ReferenceData!$B$43),"",ReferenceData!$B$43),"")</f>
        <v>WAL US Equity</v>
      </c>
      <c r="C43" t="str">
        <f>IFERROR(IF(0=LEN(ReferenceData!$C$43),"",ReferenceData!$C$43),"")</f>
        <v>A0621</v>
      </c>
      <c r="D43" t="str">
        <f>IFERROR(IF(0=LEN(ReferenceData!$D$43),"",ReferenceData!$D$43),"")</f>
        <v>ARD_MORTGAGE_BANKING_REVENUE</v>
      </c>
      <c r="E43" t="str">
        <f>IFERROR(IF(0=LEN(ReferenceData!$E$43),"",ReferenceData!$E$43),"")</f>
        <v>Dynamic</v>
      </c>
      <c r="F43" t="str">
        <f ca="1">IFERROR(IF(0=LEN(ReferenceData!$F$43),"",ReferenceData!$F$43),"")</f>
        <v/>
      </c>
      <c r="G43" t="str">
        <f ca="1">IFERROR(IF(0=LEN(ReferenceData!$G$43),"",ReferenceData!$G$43),"")</f>
        <v/>
      </c>
      <c r="H43" t="str">
        <f ca="1">IFERROR(IF(0=LEN(ReferenceData!$H$43),"",ReferenceData!$H$43),"")</f>
        <v/>
      </c>
      <c r="I43" t="str">
        <f ca="1">IFERROR(IF(0=LEN(ReferenceData!$I$43),"",ReferenceData!$I$43),"")</f>
        <v/>
      </c>
      <c r="J43" t="str">
        <f ca="1">IFERROR(IF(0=LEN(ReferenceData!$J$43),"",ReferenceData!$J$43),"")</f>
        <v/>
      </c>
      <c r="K43" t="str">
        <f ca="1">IFERROR(IF(0=LEN(ReferenceData!$K$43),"",ReferenceData!$K$43),"")</f>
        <v/>
      </c>
      <c r="L43" t="str">
        <f ca="1">IFERROR(IF(0=LEN(ReferenceData!$L$43),"",ReferenceData!$L$43),"")</f>
        <v/>
      </c>
      <c r="M43" t="str">
        <f ca="1">IFERROR(IF(0=LEN(ReferenceData!$M$43),"",ReferenceData!$M$43),"")</f>
        <v/>
      </c>
      <c r="N43" t="str">
        <f ca="1">IFERROR(IF(0=LEN(ReferenceData!$N$43),"",ReferenceData!$N$43),"")</f>
        <v/>
      </c>
      <c r="O43" t="str">
        <f ca="1">IFERROR(IF(0=LEN(ReferenceData!$O$43),"",ReferenceData!$O$43),"")</f>
        <v/>
      </c>
      <c r="P43" t="str">
        <f ca="1">IFERROR(IF(0=LEN(ReferenceData!$P$43),"",ReferenceData!$P$43),"")</f>
        <v/>
      </c>
      <c r="Q43" t="str">
        <f ca="1">IFERROR(IF(0=LEN(ReferenceData!$Q$43),"",ReferenceData!$Q$43),"")</f>
        <v/>
      </c>
      <c r="R43" t="str">
        <f ca="1">IFERROR(IF(0=LEN(ReferenceData!$R$43),"",ReferenceData!$R$43),"")</f>
        <v/>
      </c>
      <c r="S43" t="str">
        <f ca="1">IFERROR(IF(0=LEN(ReferenceData!$S$43),"",ReferenceData!$S$43),"")</f>
        <v/>
      </c>
      <c r="T43" t="str">
        <f ca="1">IFERROR(IF(0=LEN(ReferenceData!$T$43),"",ReferenceData!$T$43),"")</f>
        <v/>
      </c>
      <c r="U43" t="str">
        <f ca="1">IFERROR(IF(0=LEN(ReferenceData!$U$43),"",ReferenceData!$U$43),"")</f>
        <v/>
      </c>
      <c r="V43" t="str">
        <f ca="1">IFERROR(IF(0=LEN(ReferenceData!$V$43),"",ReferenceData!$V$43),"")</f>
        <v/>
      </c>
      <c r="W43" t="str">
        <f ca="1">IFERROR(IF(0=LEN(ReferenceData!$W$43),"",ReferenceData!$W$43),"")</f>
        <v/>
      </c>
      <c r="X43" t="str">
        <f ca="1">IFERROR(IF(0=LEN(ReferenceData!$X$43),"",ReferenceData!$X$43),"")</f>
        <v/>
      </c>
      <c r="Y43" t="str">
        <f ca="1">IFERROR(IF(0=LEN(ReferenceData!$Y$43),"",ReferenceData!$Y$43),"")</f>
        <v/>
      </c>
      <c r="Z43" t="str">
        <f ca="1">IFERROR(IF(0=LEN(ReferenceData!$Z$43),"",ReferenceData!$Z$43),"")</f>
        <v/>
      </c>
      <c r="AA43" t="str">
        <f ca="1">IFERROR(IF(0=LEN(ReferenceData!$AA$43),"",ReferenceData!$AA$43),"")</f>
        <v/>
      </c>
      <c r="AB43" t="str">
        <f ca="1">IFERROR(IF(0=LEN(ReferenceData!$AB$43),"",ReferenceData!$AB$43),"")</f>
        <v/>
      </c>
      <c r="AC43" t="str">
        <f ca="1">IFERROR(IF(0=LEN(ReferenceData!$AC$43),"",ReferenceData!$AC$43),"")</f>
        <v/>
      </c>
      <c r="AD43" t="str">
        <f ca="1">IFERROR(IF(0=LEN(ReferenceData!$AD$43),"",ReferenceData!$AD$43),"")</f>
        <v/>
      </c>
      <c r="AE43" t="str">
        <f ca="1">IFERROR(IF(0=LEN(ReferenceData!$AE$43),"",ReferenceData!$AE$43),"")</f>
        <v/>
      </c>
      <c r="AF43" t="str">
        <f ca="1">IFERROR(IF(0=LEN(ReferenceData!$AF$43),"",ReferenceData!$AF$43),"")</f>
        <v/>
      </c>
      <c r="AG43" t="str">
        <f ca="1">IFERROR(IF(0=LEN(ReferenceData!$AG$43),"",ReferenceData!$AG$43),"")</f>
        <v/>
      </c>
      <c r="AH43" t="str">
        <f ca="1">IFERROR(IF(0=LEN(ReferenceData!$AH$43),"",ReferenceData!$AH$43),"")</f>
        <v/>
      </c>
      <c r="AI43" t="str">
        <f ca="1">IFERROR(IF(0=LEN(ReferenceData!$AI$43),"",ReferenceData!$AI$43),"")</f>
        <v/>
      </c>
      <c r="AJ43" t="str">
        <f ca="1">IFERROR(IF(0=LEN(ReferenceData!$AJ$43),"",ReferenceData!$AJ$43),"")</f>
        <v/>
      </c>
      <c r="AK43" t="str">
        <f ca="1">IFERROR(IF(0=LEN(ReferenceData!$AK$43),"",ReferenceData!$AK$43),"")</f>
        <v/>
      </c>
      <c r="AL43" t="str">
        <f ca="1">IFERROR(IF(0=LEN(ReferenceData!$AL$43),"",ReferenceData!$AL$43),"")</f>
        <v/>
      </c>
      <c r="AM43" t="str">
        <f ca="1">IFERROR(IF(0=LEN(ReferenceData!$AM$43),"",ReferenceData!$AM$43),"")</f>
        <v/>
      </c>
      <c r="AN43" t="str">
        <f ca="1">IFERROR(IF(0=LEN(ReferenceData!$AN$43),"",ReferenceData!$AN$43),"")</f>
        <v/>
      </c>
      <c r="AO43" t="str">
        <f ca="1">IFERROR(IF(0=LEN(ReferenceData!$AO$43),"",ReferenceData!$AO$43),"")</f>
        <v/>
      </c>
      <c r="AP43" t="str">
        <f ca="1">IFERROR(IF(0=LEN(ReferenceData!$AP$43),"",ReferenceData!$AP$43),"")</f>
        <v/>
      </c>
      <c r="AQ43" t="str">
        <f ca="1">IFERROR(IF(0=LEN(ReferenceData!$AQ$43),"",ReferenceData!$AQ$43),"")</f>
        <v/>
      </c>
      <c r="AR43" t="str">
        <f ca="1">IFERROR(IF(0=LEN(ReferenceData!$AR$43),"",ReferenceData!$AR$43),"")</f>
        <v/>
      </c>
      <c r="AS43" t="str">
        <f ca="1">IFERROR(IF(0=LEN(ReferenceData!$AS$43),"",ReferenceData!$AS$43),"")</f>
        <v/>
      </c>
      <c r="AT43" t="str">
        <f ca="1">IFERROR(IF(0=LEN(ReferenceData!$AT$43),"",ReferenceData!$AT$43),"")</f>
        <v/>
      </c>
      <c r="AU43" t="str">
        <f ca="1">IFERROR(IF(0=LEN(ReferenceData!$AU$43),"",ReferenceData!$AU$43),"")</f>
        <v/>
      </c>
      <c r="AV43" t="str">
        <f ca="1">IFERROR(IF(0=LEN(ReferenceData!$AV$43),"",ReferenceData!$AV$43),"")</f>
        <v/>
      </c>
      <c r="AW43" t="str">
        <f ca="1">IFERROR(IF(0=LEN(ReferenceData!$AW$43),"",ReferenceData!$AW$43),"")</f>
        <v/>
      </c>
      <c r="AX43" t="str">
        <f ca="1">IFERROR(IF(0=LEN(ReferenceData!$AX$43),"",ReferenceData!$AX$43),"")</f>
        <v/>
      </c>
      <c r="AY43" t="str">
        <f ca="1">IFERROR(IF(0=LEN(ReferenceData!$AY$43),"",ReferenceData!$AY$43),"")</f>
        <v/>
      </c>
      <c r="AZ43" t="str">
        <f ca="1">IFERROR(IF(0=LEN(ReferenceData!$AZ$43),"",ReferenceData!$AZ$43),"")</f>
        <v/>
      </c>
      <c r="BA43" t="str">
        <f ca="1">IFERROR(IF(0=LEN(ReferenceData!$BA$43),"",ReferenceData!$BA$43),"")</f>
        <v/>
      </c>
      <c r="BB43" t="str">
        <f ca="1">IFERROR(IF(0=LEN(ReferenceData!$BB$43),"",ReferenceData!$BB$43),"")</f>
        <v/>
      </c>
      <c r="BC43" t="str">
        <f ca="1">IFERROR(IF(0=LEN(ReferenceData!$BC$43),"",ReferenceData!$BC$43),"")</f>
        <v/>
      </c>
      <c r="BD43" t="str">
        <f ca="1">IFERROR(IF(0=LEN(ReferenceData!$BD$43),"",ReferenceData!$BD$43),"")</f>
        <v/>
      </c>
      <c r="BE43" t="str">
        <f ca="1">IFERROR(IF(0=LEN(ReferenceData!$BE$43),"",ReferenceData!$BE$43),"")</f>
        <v/>
      </c>
      <c r="BF43" t="str">
        <f ca="1">IFERROR(IF(0=LEN(ReferenceData!$BF$43),"",ReferenceData!$BF$43),"")</f>
        <v/>
      </c>
      <c r="BG43" t="str">
        <f ca="1">IFERROR(IF(0=LEN(ReferenceData!$BG$43),"",ReferenceData!$BG$43),"")</f>
        <v/>
      </c>
      <c r="BH43" t="str">
        <f ca="1">IFERROR(IF(0=LEN(ReferenceData!$BH$43),"",ReferenceData!$BH$43),"")</f>
        <v/>
      </c>
      <c r="BI43" t="str">
        <f ca="1">IFERROR(IF(0=LEN(ReferenceData!$BI$43),"",ReferenceData!$BI$43),"")</f>
        <v/>
      </c>
      <c r="BJ43" t="str">
        <f ca="1">IFERROR(IF(0=LEN(ReferenceData!$BJ$43),"",ReferenceData!$BJ$43),"")</f>
        <v/>
      </c>
      <c r="BK43" t="str">
        <f ca="1">IFERROR(IF(0=LEN(ReferenceData!$BK$43),"",ReferenceData!$BK$43),"")</f>
        <v/>
      </c>
      <c r="BL43" t="str">
        <f ca="1">IFERROR(IF(0=LEN(ReferenceData!$BL$43),"",ReferenceData!$BL$43),"")</f>
        <v/>
      </c>
      <c r="BM43" t="str">
        <f ca="1">IFERROR(IF(0=LEN(ReferenceData!$BM$43),"",ReferenceData!$BM$43),"")</f>
        <v/>
      </c>
    </row>
    <row r="44" spans="1:65">
      <c r="A44" t="str">
        <f>IFERROR(IF(0=LEN(ReferenceData!$A$44),"",ReferenceData!$A$44),"")</f>
        <v xml:space="preserve">    Zions Bancorp NA</v>
      </c>
      <c r="B44" t="str">
        <f>IFERROR(IF(0=LEN(ReferenceData!$B$44),"",ReferenceData!$B$44),"")</f>
        <v>ZION US Equity</v>
      </c>
      <c r="C44" t="str">
        <f>IFERROR(IF(0=LEN(ReferenceData!$C$44),"",ReferenceData!$C$44),"")</f>
        <v>A0621</v>
      </c>
      <c r="D44" t="str">
        <f>IFERROR(IF(0=LEN(ReferenceData!$D$44),"",ReferenceData!$D$44),"")</f>
        <v>ARD_MORTGAGE_BANKING_REVENUE</v>
      </c>
      <c r="E44" t="str">
        <f>IFERROR(IF(0=LEN(ReferenceData!$E$44),"",ReferenceData!$E$44),"")</f>
        <v>Dynamic</v>
      </c>
      <c r="F44" t="str">
        <f ca="1">IFERROR(IF(0=LEN(ReferenceData!$F$44),"",ReferenceData!$F$44),"")</f>
        <v/>
      </c>
      <c r="G44" t="str">
        <f ca="1">IFERROR(IF(0=LEN(ReferenceData!$G$44),"",ReferenceData!$G$44),"")</f>
        <v/>
      </c>
      <c r="H44" t="str">
        <f ca="1">IFERROR(IF(0=LEN(ReferenceData!$H$44),"",ReferenceData!$H$44),"")</f>
        <v/>
      </c>
      <c r="I44" t="str">
        <f ca="1">IFERROR(IF(0=LEN(ReferenceData!$I$44),"",ReferenceData!$I$44),"")</f>
        <v/>
      </c>
      <c r="J44" t="str">
        <f ca="1">IFERROR(IF(0=LEN(ReferenceData!$J$44),"",ReferenceData!$J$44),"")</f>
        <v/>
      </c>
      <c r="K44" t="str">
        <f ca="1">IFERROR(IF(0=LEN(ReferenceData!$K$44),"",ReferenceData!$K$44),"")</f>
        <v/>
      </c>
      <c r="L44" t="str">
        <f ca="1">IFERROR(IF(0=LEN(ReferenceData!$L$44),"",ReferenceData!$L$44),"")</f>
        <v/>
      </c>
      <c r="M44" t="str">
        <f ca="1">IFERROR(IF(0=LEN(ReferenceData!$M$44),"",ReferenceData!$M$44),"")</f>
        <v/>
      </c>
      <c r="N44" t="str">
        <f ca="1">IFERROR(IF(0=LEN(ReferenceData!$N$44),"",ReferenceData!$N$44),"")</f>
        <v/>
      </c>
      <c r="O44" t="str">
        <f ca="1">IFERROR(IF(0=LEN(ReferenceData!$O$44),"",ReferenceData!$O$44),"")</f>
        <v/>
      </c>
      <c r="P44" t="str">
        <f ca="1">IFERROR(IF(0=LEN(ReferenceData!$P$44),"",ReferenceData!$P$44),"")</f>
        <v/>
      </c>
      <c r="Q44" t="str">
        <f ca="1">IFERROR(IF(0=LEN(ReferenceData!$Q$44),"",ReferenceData!$Q$44),"")</f>
        <v/>
      </c>
      <c r="R44" t="str">
        <f ca="1">IFERROR(IF(0=LEN(ReferenceData!$R$44),"",ReferenceData!$R$44),"")</f>
        <v/>
      </c>
      <c r="S44" t="str">
        <f ca="1">IFERROR(IF(0=LEN(ReferenceData!$S$44),"",ReferenceData!$S$44),"")</f>
        <v/>
      </c>
      <c r="T44" t="str">
        <f ca="1">IFERROR(IF(0=LEN(ReferenceData!$T$44),"",ReferenceData!$T$44),"")</f>
        <v/>
      </c>
      <c r="U44" t="str">
        <f ca="1">IFERROR(IF(0=LEN(ReferenceData!$U$44),"",ReferenceData!$U$44),"")</f>
        <v/>
      </c>
      <c r="V44" t="str">
        <f ca="1">IFERROR(IF(0=LEN(ReferenceData!$V$44),"",ReferenceData!$V$44),"")</f>
        <v/>
      </c>
      <c r="W44" t="str">
        <f ca="1">IFERROR(IF(0=LEN(ReferenceData!$W$44),"",ReferenceData!$W$44),"")</f>
        <v/>
      </c>
      <c r="X44" t="str">
        <f ca="1">IFERROR(IF(0=LEN(ReferenceData!$X$44),"",ReferenceData!$X$44),"")</f>
        <v/>
      </c>
      <c r="Y44" t="str">
        <f ca="1">IFERROR(IF(0=LEN(ReferenceData!$Y$44),"",ReferenceData!$Y$44),"")</f>
        <v/>
      </c>
      <c r="Z44" t="str">
        <f ca="1">IFERROR(IF(0=LEN(ReferenceData!$Z$44),"",ReferenceData!$Z$44),"")</f>
        <v/>
      </c>
      <c r="AA44" t="str">
        <f ca="1">IFERROR(IF(0=LEN(ReferenceData!$AA$44),"",ReferenceData!$AA$44),"")</f>
        <v/>
      </c>
      <c r="AB44" t="str">
        <f ca="1">IFERROR(IF(0=LEN(ReferenceData!$AB$44),"",ReferenceData!$AB$44),"")</f>
        <v/>
      </c>
      <c r="AC44" t="str">
        <f ca="1">IFERROR(IF(0=LEN(ReferenceData!$AC$44),"",ReferenceData!$AC$44),"")</f>
        <v/>
      </c>
      <c r="AD44" t="str">
        <f ca="1">IFERROR(IF(0=LEN(ReferenceData!$AD$44),"",ReferenceData!$AD$44),"")</f>
        <v/>
      </c>
      <c r="AE44" t="str">
        <f ca="1">IFERROR(IF(0=LEN(ReferenceData!$AE$44),"",ReferenceData!$AE$44),"")</f>
        <v/>
      </c>
      <c r="AF44" t="str">
        <f ca="1">IFERROR(IF(0=LEN(ReferenceData!$AF$44),"",ReferenceData!$AF$44),"")</f>
        <v/>
      </c>
      <c r="AG44" t="str">
        <f ca="1">IFERROR(IF(0=LEN(ReferenceData!$AG$44),"",ReferenceData!$AG$44),"")</f>
        <v/>
      </c>
      <c r="AH44" t="str">
        <f ca="1">IFERROR(IF(0=LEN(ReferenceData!$AH$44),"",ReferenceData!$AH$44),"")</f>
        <v/>
      </c>
      <c r="AI44" t="str">
        <f ca="1">IFERROR(IF(0=LEN(ReferenceData!$AI$44),"",ReferenceData!$AI$44),"")</f>
        <v/>
      </c>
      <c r="AJ44" t="str">
        <f ca="1">IFERROR(IF(0=LEN(ReferenceData!$AJ$44),"",ReferenceData!$AJ$44),"")</f>
        <v/>
      </c>
      <c r="AK44" t="str">
        <f ca="1">IFERROR(IF(0=LEN(ReferenceData!$AK$44),"",ReferenceData!$AK$44),"")</f>
        <v/>
      </c>
      <c r="AL44" t="str">
        <f ca="1">IFERROR(IF(0=LEN(ReferenceData!$AL$44),"",ReferenceData!$AL$44),"")</f>
        <v/>
      </c>
      <c r="AM44" t="str">
        <f ca="1">IFERROR(IF(0=LEN(ReferenceData!$AM$44),"",ReferenceData!$AM$44),"")</f>
        <v/>
      </c>
      <c r="AN44" t="str">
        <f ca="1">IFERROR(IF(0=LEN(ReferenceData!$AN$44),"",ReferenceData!$AN$44),"")</f>
        <v/>
      </c>
      <c r="AO44" t="str">
        <f ca="1">IFERROR(IF(0=LEN(ReferenceData!$AO$44),"",ReferenceData!$AO$44),"")</f>
        <v/>
      </c>
      <c r="AP44" t="str">
        <f ca="1">IFERROR(IF(0=LEN(ReferenceData!$AP$44),"",ReferenceData!$AP$44),"")</f>
        <v/>
      </c>
      <c r="AQ44" t="str">
        <f ca="1">IFERROR(IF(0=LEN(ReferenceData!$AQ$44),"",ReferenceData!$AQ$44),"")</f>
        <v/>
      </c>
      <c r="AR44" t="str">
        <f ca="1">IFERROR(IF(0=LEN(ReferenceData!$AR$44),"",ReferenceData!$AR$44),"")</f>
        <v/>
      </c>
      <c r="AS44" t="str">
        <f ca="1">IFERROR(IF(0=LEN(ReferenceData!$AS$44),"",ReferenceData!$AS$44),"")</f>
        <v/>
      </c>
      <c r="AT44" t="str">
        <f ca="1">IFERROR(IF(0=LEN(ReferenceData!$AT$44),"",ReferenceData!$AT$44),"")</f>
        <v/>
      </c>
      <c r="AU44" t="str">
        <f ca="1">IFERROR(IF(0=LEN(ReferenceData!$AU$44),"",ReferenceData!$AU$44),"")</f>
        <v/>
      </c>
      <c r="AV44" t="str">
        <f ca="1">IFERROR(IF(0=LEN(ReferenceData!$AV$44),"",ReferenceData!$AV$44),"")</f>
        <v/>
      </c>
      <c r="AW44" t="str">
        <f ca="1">IFERROR(IF(0=LEN(ReferenceData!$AW$44),"",ReferenceData!$AW$44),"")</f>
        <v/>
      </c>
      <c r="AX44" t="str">
        <f ca="1">IFERROR(IF(0=LEN(ReferenceData!$AX$44),"",ReferenceData!$AX$44),"")</f>
        <v/>
      </c>
      <c r="AY44" t="str">
        <f ca="1">IFERROR(IF(0=LEN(ReferenceData!$AY$44),"",ReferenceData!$AY$44),"")</f>
        <v/>
      </c>
      <c r="AZ44" t="str">
        <f ca="1">IFERROR(IF(0=LEN(ReferenceData!$AZ$44),"",ReferenceData!$AZ$44),"")</f>
        <v/>
      </c>
      <c r="BA44" t="str">
        <f ca="1">IFERROR(IF(0=LEN(ReferenceData!$BA$44),"",ReferenceData!$BA$44),"")</f>
        <v/>
      </c>
      <c r="BB44" t="str">
        <f ca="1">IFERROR(IF(0=LEN(ReferenceData!$BB$44),"",ReferenceData!$BB$44),"")</f>
        <v/>
      </c>
      <c r="BC44" t="str">
        <f ca="1">IFERROR(IF(0=LEN(ReferenceData!$BC$44),"",ReferenceData!$BC$44),"")</f>
        <v/>
      </c>
      <c r="BD44" t="str">
        <f ca="1">IFERROR(IF(0=LEN(ReferenceData!$BD$44),"",ReferenceData!$BD$44),"")</f>
        <v/>
      </c>
      <c r="BE44" t="str">
        <f ca="1">IFERROR(IF(0=LEN(ReferenceData!$BE$44),"",ReferenceData!$BE$44),"")</f>
        <v/>
      </c>
      <c r="BF44" t="str">
        <f ca="1">IFERROR(IF(0=LEN(ReferenceData!$BF$44),"",ReferenceData!$BF$44),"")</f>
        <v/>
      </c>
      <c r="BG44" t="str">
        <f ca="1">IFERROR(IF(0=LEN(ReferenceData!$BG$44),"",ReferenceData!$BG$44),"")</f>
        <v/>
      </c>
      <c r="BH44" t="str">
        <f ca="1">IFERROR(IF(0=LEN(ReferenceData!$BH$44),"",ReferenceData!$BH$44),"")</f>
        <v/>
      </c>
      <c r="BI44" t="str">
        <f ca="1">IFERROR(IF(0=LEN(ReferenceData!$BI$44),"",ReferenceData!$BI$44),"")</f>
        <v/>
      </c>
      <c r="BJ44" t="str">
        <f ca="1">IFERROR(IF(0=LEN(ReferenceData!$BJ$44),"",ReferenceData!$BJ$44),"")</f>
        <v/>
      </c>
      <c r="BK44" t="str">
        <f ca="1">IFERROR(IF(0=LEN(ReferenceData!$BK$44),"",ReferenceData!$BK$44),"")</f>
        <v/>
      </c>
      <c r="BL44" t="str">
        <f ca="1">IFERROR(IF(0=LEN(ReferenceData!$BL$44),"",ReferenceData!$BL$44),"")</f>
        <v/>
      </c>
      <c r="BM44" t="str">
        <f ca="1">IFERROR(IF(0=LEN(ReferenceData!$BM$44),"",ReferenceData!$BM$44),"")</f>
        <v/>
      </c>
    </row>
    <row r="45" spans="1:65">
      <c r="A45" s="2" t="str">
        <f>IFERROR(IF(0=LEN(ReferenceData!$A$45),"",ReferenceData!$A$45),"")</f>
        <v>Residential Mortgage Banking Originations ($)</v>
      </c>
      <c r="B45" t="str">
        <f>IFERROR(IF(0=LEN(ReferenceData!$B$45),"",ReferenceData!$B$45),"")</f>
        <v/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Sum</v>
      </c>
      <c r="F45">
        <f ca="1">IFERROR(IF(0=LEN(ReferenceData!$F$45),"",ReferenceData!$F$45),"")</f>
        <v>45300</v>
      </c>
      <c r="G45">
        <f ca="1">IFERROR(IF(0=LEN(ReferenceData!$G$45),"",ReferenceData!$G$45),"")</f>
        <v>48120.2</v>
      </c>
      <c r="H45">
        <f ca="1">IFERROR(IF(0=LEN(ReferenceData!$H$45),"",ReferenceData!$H$45),"")</f>
        <v>49349.2</v>
      </c>
      <c r="I45">
        <f ca="1">IFERROR(IF(0=LEN(ReferenceData!$I$45),"",ReferenceData!$I$45),"")</f>
        <v>32000.5</v>
      </c>
      <c r="J45">
        <f ca="1">IFERROR(IF(0=LEN(ReferenceData!$J$45),"",ReferenceData!$J$45),"")</f>
        <v>33516.699999999997</v>
      </c>
      <c r="K45">
        <f ca="1">IFERROR(IF(0=LEN(ReferenceData!$K$45),"",ReferenceData!$K$45),"")</f>
        <v>46448.9</v>
      </c>
      <c r="L45">
        <f ca="1">IFERROR(IF(0=LEN(ReferenceData!$L$45),"",ReferenceData!$L$45),"")</f>
        <v>54883.8</v>
      </c>
      <c r="M45">
        <f ca="1">IFERROR(IF(0=LEN(ReferenceData!$M$45),"",ReferenceData!$M$45),"")</f>
        <v>43312.4</v>
      </c>
      <c r="N45">
        <f ca="1">IFERROR(IF(0=LEN(ReferenceData!$N$45),"",ReferenceData!$N$45),"")</f>
        <v>50707.5</v>
      </c>
      <c r="O45">
        <f ca="1">IFERROR(IF(0=LEN(ReferenceData!$O$45),"",ReferenceData!$O$45),"")</f>
        <v>76433.899999999994</v>
      </c>
      <c r="P45">
        <f ca="1">IFERROR(IF(0=LEN(ReferenceData!$P$45),"",ReferenceData!$P$45),"")</f>
        <v>106337</v>
      </c>
      <c r="Q45">
        <f ca="1">IFERROR(IF(0=LEN(ReferenceData!$Q$45),"",ReferenceData!$Q$45),"")</f>
        <v>114804.9</v>
      </c>
      <c r="R45">
        <f ca="1">IFERROR(IF(0=LEN(ReferenceData!$R$45),"",ReferenceData!$R$45),"")</f>
        <v>162998.9</v>
      </c>
      <c r="S45">
        <f ca="1">IFERROR(IF(0=LEN(ReferenceData!$S$45),"",ReferenceData!$S$45),"")</f>
        <v>168562.9</v>
      </c>
      <c r="T45">
        <f ca="1">IFERROR(IF(0=LEN(ReferenceData!$T$45),"",ReferenceData!$T$45),"")</f>
        <v>177261.4</v>
      </c>
      <c r="U45">
        <f ca="1">IFERROR(IF(0=LEN(ReferenceData!$U$45),"",ReferenceData!$U$45),"")</f>
        <v>167021.79999999999</v>
      </c>
      <c r="V45">
        <f ca="1">IFERROR(IF(0=LEN(ReferenceData!$V$45),"",ReferenceData!$V$45),"")</f>
        <v>165385.9</v>
      </c>
      <c r="W45">
        <f ca="1">IFERROR(IF(0=LEN(ReferenceData!$W$45),"",ReferenceData!$W$45),"")</f>
        <v>168799</v>
      </c>
      <c r="X45">
        <f ca="1">IFERROR(IF(0=LEN(ReferenceData!$X$45),"",ReferenceData!$X$45),"")</f>
        <v>168286</v>
      </c>
      <c r="Y45">
        <f ca="1">IFERROR(IF(0=LEN(ReferenceData!$Y$45),"",ReferenceData!$Y$45),"")</f>
        <v>141251.1</v>
      </c>
      <c r="Z45">
        <f ca="1">IFERROR(IF(0=LEN(ReferenceData!$Z$45),"",ReferenceData!$Z$45),"")</f>
        <v>153006.9</v>
      </c>
      <c r="AA45">
        <f ca="1">IFERROR(IF(0=LEN(ReferenceData!$AA$45),"",ReferenceData!$AA$45),"")</f>
        <v>150858.1</v>
      </c>
      <c r="AB45">
        <f ca="1">IFERROR(IF(0=LEN(ReferenceData!$AB$45),"",ReferenceData!$AB$45),"")</f>
        <v>130313.5</v>
      </c>
      <c r="AC45">
        <f ca="1">IFERROR(IF(0=LEN(ReferenceData!$AC$45),"",ReferenceData!$AC$45),"")</f>
        <v>81845.7</v>
      </c>
      <c r="AD45">
        <f ca="1">IFERROR(IF(0=LEN(ReferenceData!$AD$45),"",ReferenceData!$AD$45),"")</f>
        <v>88487</v>
      </c>
      <c r="AE45">
        <f ca="1">IFERROR(IF(0=LEN(ReferenceData!$AE$45),"",ReferenceData!$AE$45),"")</f>
        <v>108269.8</v>
      </c>
      <c r="AF45">
        <f ca="1">IFERROR(IF(0=LEN(ReferenceData!$AF$45),"",ReferenceData!$AF$45),"")</f>
        <v>113425.7</v>
      </c>
      <c r="AG45">
        <f ca="1">IFERROR(IF(0=LEN(ReferenceData!$AG$45),"",ReferenceData!$AG$45),"")</f>
        <v>96183.9</v>
      </c>
      <c r="AH45">
        <f ca="1">IFERROR(IF(0=LEN(ReferenceData!$AH$45),"",ReferenceData!$AH$45),"")</f>
        <v>121312.4</v>
      </c>
      <c r="AI45">
        <f ca="1">IFERROR(IF(0=LEN(ReferenceData!$AI$45),"",ReferenceData!$AI$45),"")</f>
        <v>130021.4</v>
      </c>
      <c r="AJ45">
        <f ca="1">IFERROR(IF(0=LEN(ReferenceData!$AJ$45),"",ReferenceData!$AJ$45),"")</f>
        <v>123547.9</v>
      </c>
      <c r="AK45">
        <f ca="1">IFERROR(IF(0=LEN(ReferenceData!$AK$45),"",ReferenceData!$AK$45),"")</f>
        <v>106180</v>
      </c>
      <c r="AL45">
        <f ca="1">IFERROR(IF(0=LEN(ReferenceData!$AL$45),"",ReferenceData!$AL$45),"")</f>
        <v>153967.9</v>
      </c>
      <c r="AM45">
        <f ca="1">IFERROR(IF(0=LEN(ReferenceData!$AM$45),"",ReferenceData!$AM$45),"")</f>
        <v>155150.20000000001</v>
      </c>
      <c r="AN45">
        <f ca="1">IFERROR(IF(0=LEN(ReferenceData!$AN$45),"",ReferenceData!$AN$45),"")</f>
        <v>143180</v>
      </c>
      <c r="AO45">
        <f ca="1">IFERROR(IF(0=LEN(ReferenceData!$AO$45),"",ReferenceData!$AO$45),"")</f>
        <v>108965</v>
      </c>
      <c r="AP45">
        <f ca="1">IFERROR(IF(0=LEN(ReferenceData!$AP$45),"",ReferenceData!$AP$45),"")</f>
        <v>114308.5</v>
      </c>
      <c r="AQ45">
        <f ca="1">IFERROR(IF(0=LEN(ReferenceData!$AQ$45),"",ReferenceData!$AQ$45),"")</f>
        <v>136351.20000000001</v>
      </c>
      <c r="AR45">
        <f ca="1">IFERROR(IF(0=LEN(ReferenceData!$AR$45),"",ReferenceData!$AR$45),"")</f>
        <v>147031.20000000001</v>
      </c>
      <c r="AS45">
        <f ca="1">IFERROR(IF(0=LEN(ReferenceData!$AS$45),"",ReferenceData!$AS$45),"")</f>
        <v>119526.1</v>
      </c>
      <c r="AT45">
        <f ca="1">IFERROR(IF(0=LEN(ReferenceData!$AT$45),"",ReferenceData!$AT$45),"")</f>
        <v>109518.3</v>
      </c>
      <c r="AU45">
        <f ca="1">IFERROR(IF(0=LEN(ReferenceData!$AU$45),"",ReferenceData!$AU$45),"")</f>
        <v>113945.7</v>
      </c>
      <c r="AV45">
        <f ca="1">IFERROR(IF(0=LEN(ReferenceData!$AV$45),"",ReferenceData!$AV$45),"")</f>
        <v>103504</v>
      </c>
      <c r="AW45">
        <f ca="1">IFERROR(IF(0=LEN(ReferenceData!$AW$45),"",ReferenceData!$AW$45),"")</f>
        <v>84502.1</v>
      </c>
      <c r="AX45">
        <f ca="1">IFERROR(IF(0=LEN(ReferenceData!$AX$45),"",ReferenceData!$AX$45),"")</f>
        <v>116447.3</v>
      </c>
      <c r="AY45">
        <f ca="1">IFERROR(IF(0=LEN(ReferenceData!$AY$45),"",ReferenceData!$AY$45),"")</f>
        <v>194571.9</v>
      </c>
      <c r="AZ45">
        <f ca="1">IFERROR(IF(0=LEN(ReferenceData!$AZ$45),"",ReferenceData!$AZ$45),"")</f>
        <v>247866</v>
      </c>
      <c r="BA45">
        <f ca="1">IFERROR(IF(0=LEN(ReferenceData!$BA$45),"",ReferenceData!$BA$45),"")</f>
        <v>250063</v>
      </c>
      <c r="BB45">
        <f ca="1">IFERROR(IF(0=LEN(ReferenceData!$BB$45),"",ReferenceData!$BB$45),"")</f>
        <v>261369.4</v>
      </c>
      <c r="BC45">
        <f ca="1">IFERROR(IF(0=LEN(ReferenceData!$BC$45),"",ReferenceData!$BC$45),"")</f>
        <v>265442.90000000002</v>
      </c>
      <c r="BD45">
        <f ca="1">IFERROR(IF(0=LEN(ReferenceData!$BD$45),"",ReferenceData!$BD$45),"")</f>
        <v>250939</v>
      </c>
      <c r="BE45">
        <f ca="1">IFERROR(IF(0=LEN(ReferenceData!$BE$45),"",ReferenceData!$BE$45),"")</f>
        <v>238068</v>
      </c>
      <c r="BF45">
        <f ca="1">IFERROR(IF(0=LEN(ReferenceData!$BF$45),"",ReferenceData!$BF$45),"")</f>
        <v>241325.2</v>
      </c>
      <c r="BG45">
        <f ca="1">IFERROR(IF(0=LEN(ReferenceData!$BG$45),"",ReferenceData!$BG$45),"")</f>
        <v>203670.8</v>
      </c>
      <c r="BH45">
        <f ca="1">IFERROR(IF(0=LEN(ReferenceData!$BH$45),"",ReferenceData!$BH$45),"")</f>
        <v>170643</v>
      </c>
      <c r="BI45">
        <f ca="1">IFERROR(IF(0=LEN(ReferenceData!$BI$45),"",ReferenceData!$BI$45),"")</f>
        <v>220527</v>
      </c>
      <c r="BJ45">
        <f ca="1">IFERROR(IF(0=LEN(ReferenceData!$BJ$45),"",ReferenceData!$BJ$45),"")</f>
        <v>329378</v>
      </c>
      <c r="BK45">
        <f ca="1">IFERROR(IF(0=LEN(ReferenceData!$BK$45),"",ReferenceData!$BK$45),"")</f>
        <v>270340</v>
      </c>
      <c r="BL45">
        <f ca="1">IFERROR(IF(0=LEN(ReferenceData!$BL$45),"",ReferenceData!$BL$45),"")</f>
        <v>222701</v>
      </c>
      <c r="BM45">
        <f ca="1">IFERROR(IF(0=LEN(ReferenceData!$BM$45),"",ReferenceData!$BM$45),"")</f>
        <v>8191</v>
      </c>
    </row>
    <row r="46" spans="1:65">
      <c r="A46" t="str">
        <f>IFERROR(IF(0=LEN(ReferenceData!$A$46),"",ReferenceData!$A$46),"")</f>
        <v xml:space="preserve">    BancorpSouth Inc</v>
      </c>
      <c r="B46" t="str">
        <f>IFERROR(IF(0=LEN(ReferenceData!$B$46),"",ReferenceData!$B$46),"")</f>
        <v>BXS US Equity</v>
      </c>
      <c r="C46" t="str">
        <f>IFERROR(IF(0=LEN(ReferenceData!$C$46),"",ReferenceData!$C$46),"")</f>
        <v>IS688</v>
      </c>
      <c r="D46" t="str">
        <f>IFERROR(IF(0=LEN(ReferenceData!$D$46),"",ReferenceData!$D$46),"")</f>
        <v>IS_RESIDENTIAL_MTG_ORIGINATIONS</v>
      </c>
      <c r="E46" t="str">
        <f>IFERROR(IF(0=LEN(ReferenceData!$E$46),"",ReferenceData!$E$46),"")</f>
        <v>Dynamic</v>
      </c>
      <c r="F46" t="str">
        <f ca="1">IFERROR(IF(0=LEN(ReferenceData!$F$46),"",ReferenceData!$F$46),"")</f>
        <v/>
      </c>
      <c r="G46">
        <f ca="1">IFERROR(IF(0=LEN(ReferenceData!$G$46),"",ReferenceData!$G$46),"")</f>
        <v>8.1999999999999993</v>
      </c>
      <c r="H46">
        <f ca="1">IFERROR(IF(0=LEN(ReferenceData!$H$46),"",ReferenceData!$H$46),"")</f>
        <v>7.2</v>
      </c>
      <c r="I46">
        <f ca="1">IFERROR(IF(0=LEN(ReferenceData!$I$46),"",ReferenceData!$I$46),"")</f>
        <v>6.5</v>
      </c>
      <c r="J46">
        <f ca="1">IFERROR(IF(0=LEN(ReferenceData!$J$46),"",ReferenceData!$J$46),"")</f>
        <v>434.7</v>
      </c>
      <c r="K46">
        <f ca="1">IFERROR(IF(0=LEN(ReferenceData!$K$46),"",ReferenceData!$K$46),"")</f>
        <v>848.9</v>
      </c>
      <c r="L46">
        <f ca="1">IFERROR(IF(0=LEN(ReferenceData!$L$46),"",ReferenceData!$L$46),"")</f>
        <v>6.8</v>
      </c>
      <c r="M46">
        <f ca="1">IFERROR(IF(0=LEN(ReferenceData!$M$46),"",ReferenceData!$M$46),"")</f>
        <v>8.4</v>
      </c>
      <c r="N46">
        <f ca="1">IFERROR(IF(0=LEN(ReferenceData!$N$46),"",ReferenceData!$N$46),"")</f>
        <v>554.5</v>
      </c>
      <c r="O46">
        <f ca="1">IFERROR(IF(0=LEN(ReferenceData!$O$46),"",ReferenceData!$O$46),"")</f>
        <v>769.9</v>
      </c>
      <c r="P46">
        <f ca="1">IFERROR(IF(0=LEN(ReferenceData!$P$46),"",ReferenceData!$P$46),"")</f>
        <v>913</v>
      </c>
      <c r="Q46">
        <f ca="1">IFERROR(IF(0=LEN(ReferenceData!$Q$46),"",ReferenceData!$Q$46),"")</f>
        <v>803.9</v>
      </c>
      <c r="R46">
        <f ca="1">IFERROR(IF(0=LEN(ReferenceData!$R$46),"",ReferenceData!$R$46),"")</f>
        <v>817.9</v>
      </c>
      <c r="S46">
        <f ca="1">IFERROR(IF(0=LEN(ReferenceData!$S$46),"",ReferenceData!$S$46),"")</f>
        <v>788.9</v>
      </c>
      <c r="T46">
        <f ca="1">IFERROR(IF(0=LEN(ReferenceData!$T$46),"",ReferenceData!$T$46),"")</f>
        <v>906.4</v>
      </c>
      <c r="U46">
        <f ca="1">IFERROR(IF(0=LEN(ReferenceData!$U$46),"",ReferenceData!$U$46),"")</f>
        <v>789.8</v>
      </c>
      <c r="V46">
        <f ca="1">IFERROR(IF(0=LEN(ReferenceData!$V$46),"",ReferenceData!$V$46),"")</f>
        <v>845.9</v>
      </c>
      <c r="W46">
        <f ca="1">IFERROR(IF(0=LEN(ReferenceData!$W$46),"",ReferenceData!$W$46),"")</f>
        <v>0</v>
      </c>
      <c r="X46">
        <f ca="1">IFERROR(IF(0=LEN(ReferenceData!$X$46),"",ReferenceData!$X$46),"")</f>
        <v>989</v>
      </c>
      <c r="Y46">
        <f ca="1">IFERROR(IF(0=LEN(ReferenceData!$Y$46),"",ReferenceData!$Y$46),"")</f>
        <v>477.1</v>
      </c>
      <c r="Z46">
        <f ca="1">IFERROR(IF(0=LEN(ReferenceData!$Z$46),"",ReferenceData!$Z$46),"")</f>
        <v>504.9</v>
      </c>
      <c r="AA46">
        <f ca="1">IFERROR(IF(0=LEN(ReferenceData!$AA$46),"",ReferenceData!$AA$46),"")</f>
        <v>536.1</v>
      </c>
      <c r="AB46">
        <f ca="1">IFERROR(IF(0=LEN(ReferenceData!$AB$46),"",ReferenceData!$AB$46),"")</f>
        <v>495.5</v>
      </c>
      <c r="AC46">
        <f ca="1">IFERROR(IF(0=LEN(ReferenceData!$AC$46),"",ReferenceData!$AC$46),"")</f>
        <v>291.7</v>
      </c>
      <c r="AD46">
        <f ca="1">IFERROR(IF(0=LEN(ReferenceData!$AD$46),"",ReferenceData!$AD$46),"")</f>
        <v>305</v>
      </c>
      <c r="AE46">
        <f ca="1">IFERROR(IF(0=LEN(ReferenceData!$AE$46),"",ReferenceData!$AE$46),"")</f>
        <v>384.8</v>
      </c>
      <c r="AF46">
        <f ca="1">IFERROR(IF(0=LEN(ReferenceData!$AF$46),"",ReferenceData!$AF$46),"")</f>
        <v>523.70000000000005</v>
      </c>
      <c r="AG46">
        <f ca="1">IFERROR(IF(0=LEN(ReferenceData!$AG$46),"",ReferenceData!$AG$46),"")</f>
        <v>291.89999999999998</v>
      </c>
      <c r="AH46">
        <f ca="1">IFERROR(IF(0=LEN(ReferenceData!$AH$46),"",ReferenceData!$AH$46),"")</f>
        <v>308.39999999999998</v>
      </c>
      <c r="AI46">
        <f ca="1">IFERROR(IF(0=LEN(ReferenceData!$AI$46),"",ReferenceData!$AI$46),"")</f>
        <v>342.4</v>
      </c>
      <c r="AJ46">
        <f ca="1">IFERROR(IF(0=LEN(ReferenceData!$AJ$46),"",ReferenceData!$AJ$46),"")</f>
        <v>385.9</v>
      </c>
      <c r="AK46">
        <f ca="1">IFERROR(IF(0=LEN(ReferenceData!$AK$46),"",ReferenceData!$AK$46),"")</f>
        <v>288</v>
      </c>
      <c r="AL46">
        <f ca="1">IFERROR(IF(0=LEN(ReferenceData!$AL$46),"",ReferenceData!$AL$46),"")</f>
        <v>395.9</v>
      </c>
      <c r="AM46">
        <f ca="1">IFERROR(IF(0=LEN(ReferenceData!$AM$46),"",ReferenceData!$AM$46),"")</f>
        <v>478.2</v>
      </c>
      <c r="AN46">
        <f ca="1">IFERROR(IF(0=LEN(ReferenceData!$AN$46),"",ReferenceData!$AN$46),"")</f>
        <v>463</v>
      </c>
      <c r="AO46">
        <f ca="1">IFERROR(IF(0=LEN(ReferenceData!$AO$46),"",ReferenceData!$AO$46),"")</f>
        <v>315</v>
      </c>
      <c r="AP46">
        <f ca="1">IFERROR(IF(0=LEN(ReferenceData!$AP$46),"",ReferenceData!$AP$46),"")</f>
        <v>309.5</v>
      </c>
      <c r="AQ46">
        <f ca="1">IFERROR(IF(0=LEN(ReferenceData!$AQ$46),"",ReferenceData!$AQ$46),"")</f>
        <v>402.2</v>
      </c>
      <c r="AR46">
        <f ca="1">IFERROR(IF(0=LEN(ReferenceData!$AR$46),"",ReferenceData!$AR$46),"")</f>
        <v>417.2</v>
      </c>
      <c r="AS46">
        <f ca="1">IFERROR(IF(0=LEN(ReferenceData!$AS$46),"",ReferenceData!$AS$46),"")</f>
        <v>311.10000000000002</v>
      </c>
      <c r="AT46">
        <f ca="1">IFERROR(IF(0=LEN(ReferenceData!$AT$46),"",ReferenceData!$AT$46),"")</f>
        <v>256.3</v>
      </c>
      <c r="AU46">
        <f ca="1">IFERROR(IF(0=LEN(ReferenceData!$AU$46),"",ReferenceData!$AU$46),"")</f>
        <v>305.7</v>
      </c>
      <c r="AV46">
        <f ca="1">IFERROR(IF(0=LEN(ReferenceData!$AV$46),"",ReferenceData!$AV$46),"")</f>
        <v>291</v>
      </c>
      <c r="AW46">
        <f ca="1">IFERROR(IF(0=LEN(ReferenceData!$AW$46),"",ReferenceData!$AW$46),"")</f>
        <v>197.1</v>
      </c>
      <c r="AX46">
        <f ca="1">IFERROR(IF(0=LEN(ReferenceData!$AX$46),"",ReferenceData!$AX$46),"")</f>
        <v>222.3</v>
      </c>
      <c r="AY46">
        <f ca="1">IFERROR(IF(0=LEN(ReferenceData!$AY$46),"",ReferenceData!$AY$46),"")</f>
        <v>341.9</v>
      </c>
      <c r="AZ46">
        <f ca="1">IFERROR(IF(0=LEN(ReferenceData!$AZ$46),"",ReferenceData!$AZ$46),"")</f>
        <v>435</v>
      </c>
      <c r="BA46">
        <f ca="1">IFERROR(IF(0=LEN(ReferenceData!$BA$46),"",ReferenceData!$BA$46),"")</f>
        <v>426</v>
      </c>
      <c r="BB46">
        <f ca="1">IFERROR(IF(0=LEN(ReferenceData!$BB$46),"",ReferenceData!$BB$46),"")</f>
        <v>549.4</v>
      </c>
      <c r="BC46">
        <f ca="1">IFERROR(IF(0=LEN(ReferenceData!$BC$46),"",ReferenceData!$BC$46),"")</f>
        <v>607.9</v>
      </c>
      <c r="BD46">
        <f ca="1">IFERROR(IF(0=LEN(ReferenceData!$BD$46),"",ReferenceData!$BD$46),"")</f>
        <v>444</v>
      </c>
      <c r="BE46">
        <f ca="1">IFERROR(IF(0=LEN(ReferenceData!$BE$46),"",ReferenceData!$BE$46),"")</f>
        <v>395</v>
      </c>
      <c r="BF46">
        <f ca="1">IFERROR(IF(0=LEN(ReferenceData!$BF$46),"",ReferenceData!$BF$46),"")</f>
        <v>390.2</v>
      </c>
      <c r="BG46">
        <f ca="1">IFERROR(IF(0=LEN(ReferenceData!$BG$46),"",ReferenceData!$BG$46),"")</f>
        <v>374.8</v>
      </c>
      <c r="BH46">
        <f ca="1">IFERROR(IF(0=LEN(ReferenceData!$BH$46),"",ReferenceData!$BH$46),"")</f>
        <v>245</v>
      </c>
      <c r="BI46">
        <f ca="1">IFERROR(IF(0=LEN(ReferenceData!$BI$46),"",ReferenceData!$BI$46),"")</f>
        <v>203</v>
      </c>
      <c r="BJ46">
        <f ca="1">IFERROR(IF(0=LEN(ReferenceData!$BJ$46),"",ReferenceData!$BJ$46),"")</f>
        <v>452</v>
      </c>
      <c r="BK46" t="str">
        <f ca="1">IFERROR(IF(0=LEN(ReferenceData!$BK$46),"",ReferenceData!$BK$46),"")</f>
        <v/>
      </c>
      <c r="BL46">
        <f ca="1">IFERROR(IF(0=LEN(ReferenceData!$BL$46),"",ReferenceData!$BL$46),"")</f>
        <v>291</v>
      </c>
      <c r="BM46" t="str">
        <f ca="1">IFERROR(IF(0=LEN(ReferenceData!$BM$46),"",ReferenceData!$BM$46),"")</f>
        <v/>
      </c>
    </row>
    <row r="47" spans="1:65">
      <c r="A47" t="str">
        <f>IFERROR(IF(0=LEN(ReferenceData!$A$47),"",ReferenceData!$A$47),"")</f>
        <v xml:space="preserve">    Bank of America Corp</v>
      </c>
      <c r="B47" t="str">
        <f>IFERROR(IF(0=LEN(ReferenceData!$B$47),"",ReferenceData!$B$47),"")</f>
        <v>BAC US Equity</v>
      </c>
      <c r="C47" t="str">
        <f>IFERROR(IF(0=LEN(ReferenceData!$C$47),"",ReferenceData!$C$47),"")</f>
        <v>IS688</v>
      </c>
      <c r="D47" t="str">
        <f>IFERROR(IF(0=LEN(ReferenceData!$D$47),"",ReferenceData!$D$47),"")</f>
        <v>IS_RESIDENTIAL_MTG_ORIGINATIONS</v>
      </c>
      <c r="E47" t="str">
        <f>IFERROR(IF(0=LEN(ReferenceData!$E$47),"",ReferenceData!$E$47),"")</f>
        <v>Dynamic</v>
      </c>
      <c r="F47">
        <f ca="1">IFERROR(IF(0=LEN(ReferenceData!$F$47),"",ReferenceData!$F$47),"")</f>
        <v>8896</v>
      </c>
      <c r="G47">
        <f ca="1">IFERROR(IF(0=LEN(ReferenceData!$G$47),"",ReferenceData!$G$47),"")</f>
        <v>7637</v>
      </c>
      <c r="H47">
        <f ca="1">IFERROR(IF(0=LEN(ReferenceData!$H$47),"",ReferenceData!$H$47),"")</f>
        <v>8121</v>
      </c>
      <c r="I47">
        <f ca="1">IFERROR(IF(0=LEN(ReferenceData!$I$47),"",ReferenceData!$I$47),"")</f>
        <v>5334</v>
      </c>
      <c r="J47">
        <f ca="1">IFERROR(IF(0=LEN(ReferenceData!$J$47),"",ReferenceData!$J$47),"")</f>
        <v>6187</v>
      </c>
      <c r="K47">
        <f ca="1">IFERROR(IF(0=LEN(ReferenceData!$K$47),"",ReferenceData!$K$47),"")</f>
        <v>8017</v>
      </c>
      <c r="L47">
        <f ca="1">IFERROR(IF(0=LEN(ReferenceData!$L$47),"",ReferenceData!$L$47),"")</f>
        <v>8482</v>
      </c>
      <c r="M47">
        <f ca="1">IFERROR(IF(0=LEN(ReferenceData!$M$47),"",ReferenceData!$M$47),"")</f>
        <v>6533</v>
      </c>
      <c r="N47">
        <f ca="1">IFERROR(IF(0=LEN(ReferenceData!$N$47),"",ReferenceData!$N$47),"")</f>
        <v>7813</v>
      </c>
      <c r="O47">
        <f ca="1">IFERROR(IF(0=LEN(ReferenceData!$O$47),"",ReferenceData!$O$47),"")</f>
        <v>11144</v>
      </c>
      <c r="P47">
        <f ca="1">IFERROR(IF(0=LEN(ReferenceData!$P$47),"",ReferenceData!$P$47),"")</f>
        <v>17006</v>
      </c>
      <c r="Q47">
        <f ca="1">IFERROR(IF(0=LEN(ReferenceData!$Q$47),"",ReferenceData!$Q$47),"")</f>
        <v>18393</v>
      </c>
      <c r="R47">
        <f ca="1">IFERROR(IF(0=LEN(ReferenceData!$R$47),"",ReferenceData!$R$47),"")</f>
        <v>24664</v>
      </c>
      <c r="S47">
        <f ca="1">IFERROR(IF(0=LEN(ReferenceData!$S$47),"",ReferenceData!$S$47),"")</f>
        <v>22755</v>
      </c>
      <c r="T47">
        <f ca="1">IFERROR(IF(0=LEN(ReferenceData!$T$47),"",ReferenceData!$T$47),"")</f>
        <v>21432</v>
      </c>
      <c r="U47">
        <f ca="1">IFERROR(IF(0=LEN(ReferenceData!$U$47),"",ReferenceData!$U$47),"")</f>
        <v>15736</v>
      </c>
      <c r="V47">
        <f ca="1">IFERROR(IF(0=LEN(ReferenceData!$V$47),"",ReferenceData!$V$47),"")</f>
        <v>14133</v>
      </c>
      <c r="W47">
        <f ca="1">IFERROR(IF(0=LEN(ReferenceData!$W$47),"",ReferenceData!$W$47),"")</f>
        <v>14344</v>
      </c>
      <c r="X47">
        <f ca="1">IFERROR(IF(0=LEN(ReferenceData!$X$47),"",ReferenceData!$X$47),"")</f>
        <v>26807</v>
      </c>
      <c r="Y47">
        <f ca="1">IFERROR(IF(0=LEN(ReferenceData!$Y$47),"",ReferenceData!$Y$47),"")</f>
        <v>21962</v>
      </c>
      <c r="Z47">
        <f ca="1">IFERROR(IF(0=LEN(ReferenceData!$Z$47),"",ReferenceData!$Z$47),"")</f>
        <v>25113</v>
      </c>
      <c r="AA47">
        <f ca="1">IFERROR(IF(0=LEN(ReferenceData!$AA$47),"",ReferenceData!$AA$47),"")</f>
        <v>23203</v>
      </c>
      <c r="AB47">
        <f ca="1">IFERROR(IF(0=LEN(ReferenceData!$AB$47),"",ReferenceData!$AB$47),"")</f>
        <v>20997</v>
      </c>
      <c r="AC47">
        <f ca="1">IFERROR(IF(0=LEN(ReferenceData!$AC$47),"",ReferenceData!$AC$47),"")</f>
        <v>14285</v>
      </c>
      <c r="AD47">
        <f ca="1">IFERROR(IF(0=LEN(ReferenceData!$AD$47),"",ReferenceData!$AD$47),"")</f>
        <v>13057</v>
      </c>
      <c r="AE47">
        <f ca="1">IFERROR(IF(0=LEN(ReferenceData!$AE$47),"",ReferenceData!$AE$47),"")</f>
        <v>14081</v>
      </c>
      <c r="AF47">
        <f ca="1">IFERROR(IF(0=LEN(ReferenceData!$AF$47),"",ReferenceData!$AF$47),"")</f>
        <v>15753</v>
      </c>
      <c r="AG47">
        <f ca="1">IFERROR(IF(0=LEN(ReferenceData!$AG$47),"",ReferenceData!$AG$47),"")</f>
        <v>13173</v>
      </c>
      <c r="AH47">
        <f ca="1">IFERROR(IF(0=LEN(ReferenceData!$AH$47),"",ReferenceData!$AH$47),"")</f>
        <v>16758</v>
      </c>
      <c r="AI47">
        <f ca="1">IFERROR(IF(0=LEN(ReferenceData!$AI$47),"",ReferenceData!$AI$47),"")</f>
        <v>17316</v>
      </c>
      <c r="AJ47">
        <f ca="1">IFERROR(IF(0=LEN(ReferenceData!$AJ$47),"",ReferenceData!$AJ$47),"")</f>
        <v>17936</v>
      </c>
      <c r="AK47">
        <f ca="1">IFERROR(IF(0=LEN(ReferenceData!$AK$47),"",ReferenceData!$AK$47),"")</f>
        <v>15495</v>
      </c>
      <c r="AL47">
        <f ca="1">IFERROR(IF(0=LEN(ReferenceData!$AL$47),"",ReferenceData!$AL$47),"")</f>
        <v>21916</v>
      </c>
      <c r="AM47">
        <f ca="1">IFERROR(IF(0=LEN(ReferenceData!$AM$47),"",ReferenceData!$AM$47),"")</f>
        <v>20406</v>
      </c>
      <c r="AN47">
        <f ca="1">IFERROR(IF(0=LEN(ReferenceData!$AN$47),"",ReferenceData!$AN$47),"")</f>
        <v>20617</v>
      </c>
      <c r="AO47">
        <f ca="1">IFERROR(IF(0=LEN(ReferenceData!$AO$47),"",ReferenceData!$AO$47),"")</f>
        <v>16428</v>
      </c>
      <c r="AP47">
        <f ca="1">IFERROR(IF(0=LEN(ReferenceData!$AP$47),"",ReferenceData!$AP$47),"")</f>
        <v>17037</v>
      </c>
      <c r="AQ47">
        <f ca="1">IFERROR(IF(0=LEN(ReferenceData!$AQ$47),"",ReferenceData!$AQ$47),"")</f>
        <v>16852</v>
      </c>
      <c r="AR47">
        <f ca="1">IFERROR(IF(0=LEN(ReferenceData!$AR$47),"",ReferenceData!$AR$47),"")</f>
        <v>19171</v>
      </c>
      <c r="AS47">
        <f ca="1">IFERROR(IF(0=LEN(ReferenceData!$AS$47),"",ReferenceData!$AS$47),"")</f>
        <v>16930</v>
      </c>
      <c r="AT47">
        <f ca="1">IFERROR(IF(0=LEN(ReferenceData!$AT$47),"",ReferenceData!$AT$47),"")</f>
        <v>15036</v>
      </c>
      <c r="AU47">
        <f ca="1">IFERROR(IF(0=LEN(ReferenceData!$AU$47),"",ReferenceData!$AU$47),"")</f>
        <v>14949</v>
      </c>
      <c r="AV47">
        <f ca="1">IFERROR(IF(0=LEN(ReferenceData!$AV$47),"",ReferenceData!$AV$47),"")</f>
        <v>13701</v>
      </c>
      <c r="AW47">
        <f ca="1">IFERROR(IF(0=LEN(ReferenceData!$AW$47),"",ReferenceData!$AW$47),"")</f>
        <v>10833</v>
      </c>
      <c r="AX47">
        <f ca="1">IFERROR(IF(0=LEN(ReferenceData!$AX$47),"",ReferenceData!$AX$47),"")</f>
        <v>13539</v>
      </c>
      <c r="AY47">
        <f ca="1">IFERROR(IF(0=LEN(ReferenceData!$AY$47),"",ReferenceData!$AY$47),"")</f>
        <v>24429</v>
      </c>
      <c r="AZ47">
        <f ca="1">IFERROR(IF(0=LEN(ReferenceData!$AZ$47),"",ReferenceData!$AZ$47),"")</f>
        <v>26772</v>
      </c>
      <c r="BA47">
        <f ca="1">IFERROR(IF(0=LEN(ReferenceData!$BA$47),"",ReferenceData!$BA$47),"")</f>
        <v>25036</v>
      </c>
      <c r="BB47">
        <f ca="1">IFERROR(IF(0=LEN(ReferenceData!$BB$47),"",ReferenceData!$BB$47),"")</f>
        <v>22478</v>
      </c>
      <c r="BC47">
        <f ca="1">IFERROR(IF(0=LEN(ReferenceData!$BC$47),"",ReferenceData!$BC$47),"")</f>
        <v>21248</v>
      </c>
      <c r="BD47">
        <f ca="1">IFERROR(IF(0=LEN(ReferenceData!$BD$47),"",ReferenceData!$BD$47),"")</f>
        <v>18935</v>
      </c>
      <c r="BE47">
        <f ca="1">IFERROR(IF(0=LEN(ReferenceData!$BE$47),"",ReferenceData!$BE$47),"")</f>
        <v>15998</v>
      </c>
      <c r="BF47">
        <f ca="1">IFERROR(IF(0=LEN(ReferenceData!$BF$47),"",ReferenceData!$BF$47),"")</f>
        <v>22373</v>
      </c>
      <c r="BG47">
        <f ca="1">IFERROR(IF(0=LEN(ReferenceData!$BG$47),"",ReferenceData!$BG$47),"")</f>
        <v>33885</v>
      </c>
      <c r="BH47">
        <f ca="1">IFERROR(IF(0=LEN(ReferenceData!$BH$47),"",ReferenceData!$BH$47),"")</f>
        <v>41424</v>
      </c>
      <c r="BI47">
        <f ca="1">IFERROR(IF(0=LEN(ReferenceData!$BI$47),"",ReferenceData!$BI$47),"")</f>
        <v>58462</v>
      </c>
      <c r="BJ47">
        <f ca="1">IFERROR(IF(0=LEN(ReferenceData!$BJ$47),"",ReferenceData!$BJ$47),"")</f>
        <v>86810</v>
      </c>
      <c r="BK47">
        <f ca="1">IFERROR(IF(0=LEN(ReferenceData!$BK$47),"",ReferenceData!$BK$47),"")</f>
        <v>74061</v>
      </c>
      <c r="BL47">
        <f ca="1">IFERROR(IF(0=LEN(ReferenceData!$BL$47),"",ReferenceData!$BL$47),"")</f>
        <v>74075</v>
      </c>
      <c r="BM47" t="str">
        <f ca="1">IFERROR(IF(0=LEN(ReferenceData!$BM$47),"",ReferenceData!$BM$47),"")</f>
        <v/>
      </c>
    </row>
    <row r="48" spans="1:65">
      <c r="A48" t="str">
        <f>IFERROR(IF(0=LEN(ReferenceData!$A$48),"",ReferenceData!$A$48),"")</f>
        <v xml:space="preserve">    BB&amp;T Corp</v>
      </c>
      <c r="B48" t="str">
        <f>IFERROR(IF(0=LEN(ReferenceData!$B$48),"",ReferenceData!$B$48),"")</f>
        <v>BBT US Equity</v>
      </c>
      <c r="C48" t="str">
        <f>IFERROR(IF(0=LEN(ReferenceData!$C$48),"",ReferenceData!$C$48),"")</f>
        <v>IS688</v>
      </c>
      <c r="D48" t="str">
        <f>IFERROR(IF(0=LEN(ReferenceData!$D$48),"",ReferenceData!$D$48),"")</f>
        <v>IS_RESIDENTIAL_MTG_ORIGINATIONS</v>
      </c>
      <c r="E48" t="str">
        <f>IFERROR(IF(0=LEN(ReferenceData!$E$48),"",ReferenceData!$E$48),"")</f>
        <v>Dynamic</v>
      </c>
      <c r="F48" t="str">
        <f ca="1">IFERROR(IF(0=LEN(ReferenceData!$F$48),"",ReferenceData!$F$48),"")</f>
        <v/>
      </c>
      <c r="G48" t="str">
        <f ca="1">IFERROR(IF(0=LEN(ReferenceData!$G$48),"",ReferenceData!$G$48),"")</f>
        <v/>
      </c>
      <c r="H48" t="str">
        <f ca="1">IFERROR(IF(0=LEN(ReferenceData!$H$48),"",ReferenceData!$H$48),"")</f>
        <v/>
      </c>
      <c r="I48" t="str">
        <f ca="1">IFERROR(IF(0=LEN(ReferenceData!$I$48),"",ReferenceData!$I$48),"")</f>
        <v/>
      </c>
      <c r="J48" t="str">
        <f ca="1">IFERROR(IF(0=LEN(ReferenceData!$J$48),"",ReferenceData!$J$48),"")</f>
        <v/>
      </c>
      <c r="K48" t="str">
        <f ca="1">IFERROR(IF(0=LEN(ReferenceData!$K$48),"",ReferenceData!$K$48),"")</f>
        <v/>
      </c>
      <c r="L48" t="str">
        <f ca="1">IFERROR(IF(0=LEN(ReferenceData!$L$48),"",ReferenceData!$L$48),"")</f>
        <v/>
      </c>
      <c r="M48" t="str">
        <f ca="1">IFERROR(IF(0=LEN(ReferenceData!$M$48),"",ReferenceData!$M$48),"")</f>
        <v/>
      </c>
      <c r="N48" t="str">
        <f ca="1">IFERROR(IF(0=LEN(ReferenceData!$N$48),"",ReferenceData!$N$48),"")</f>
        <v/>
      </c>
      <c r="O48" t="str">
        <f ca="1">IFERROR(IF(0=LEN(ReferenceData!$O$48),"",ReferenceData!$O$48),"")</f>
        <v/>
      </c>
      <c r="P48" t="str">
        <f ca="1">IFERROR(IF(0=LEN(ReferenceData!$P$48),"",ReferenceData!$P$48),"")</f>
        <v/>
      </c>
      <c r="Q48" t="str">
        <f ca="1">IFERROR(IF(0=LEN(ReferenceData!$Q$48),"",ReferenceData!$Q$48),"")</f>
        <v/>
      </c>
      <c r="R48" t="str">
        <f ca="1">IFERROR(IF(0=LEN(ReferenceData!$R$48),"",ReferenceData!$R$48),"")</f>
        <v/>
      </c>
      <c r="S48" t="str">
        <f ca="1">IFERROR(IF(0=LEN(ReferenceData!$S$48),"",ReferenceData!$S$48),"")</f>
        <v/>
      </c>
      <c r="T48">
        <f ca="1">IFERROR(IF(0=LEN(ReferenceData!$T$48),"",ReferenceData!$T$48),"")</f>
        <v>14301</v>
      </c>
      <c r="U48">
        <f ca="1">IFERROR(IF(0=LEN(ReferenceData!$U$48),"",ReferenceData!$U$48),"")</f>
        <v>13075</v>
      </c>
      <c r="V48">
        <f ca="1">IFERROR(IF(0=LEN(ReferenceData!$V$48),"",ReferenceData!$V$48),"")</f>
        <v>13235</v>
      </c>
      <c r="W48">
        <f ca="1">IFERROR(IF(0=LEN(ReferenceData!$W$48),"",ReferenceData!$W$48),"")</f>
        <v>15346</v>
      </c>
      <c r="X48">
        <f ca="1">IFERROR(IF(0=LEN(ReferenceData!$X$48),"",ReferenceData!$X$48),"")</f>
        <v>14631</v>
      </c>
      <c r="Y48">
        <f ca="1">IFERROR(IF(0=LEN(ReferenceData!$Y$48),"",ReferenceData!$Y$48),"")</f>
        <v>11708</v>
      </c>
      <c r="Z48">
        <f ca="1">IFERROR(IF(0=LEN(ReferenceData!$Z$48),"",ReferenceData!$Z$48),"")</f>
        <v>7523</v>
      </c>
      <c r="AA48">
        <f ca="1">IFERROR(IF(0=LEN(ReferenceData!$AA$48),"",ReferenceData!$AA$48),"")</f>
        <v>5274</v>
      </c>
      <c r="AB48">
        <f ca="1">IFERROR(IF(0=LEN(ReferenceData!$AB$48),"",ReferenceData!$AB$48),"")</f>
        <v>4735</v>
      </c>
      <c r="AC48">
        <f ca="1">IFERROR(IF(0=LEN(ReferenceData!$AC$48),"",ReferenceData!$AC$48),"")</f>
        <v>2383</v>
      </c>
      <c r="AD48">
        <f ca="1">IFERROR(IF(0=LEN(ReferenceData!$AD$48),"",ReferenceData!$AD$48),"")</f>
        <v>2735</v>
      </c>
      <c r="AE48">
        <f ca="1">IFERROR(IF(0=LEN(ReferenceData!$AE$48),"",ReferenceData!$AE$48),"")</f>
        <v>4265</v>
      </c>
      <c r="AF48">
        <f ca="1">IFERROR(IF(0=LEN(ReferenceData!$AF$48),"",ReferenceData!$AF$48),"")</f>
        <v>4411</v>
      </c>
      <c r="AG48">
        <f ca="1">IFERROR(IF(0=LEN(ReferenceData!$AG$48),"",ReferenceData!$AG$48),"")</f>
        <v>3328</v>
      </c>
      <c r="AH48">
        <f ca="1">IFERROR(IF(0=LEN(ReferenceData!$AH$48),"",ReferenceData!$AH$48),"")</f>
        <v>3970</v>
      </c>
      <c r="AI48">
        <f ca="1">IFERROR(IF(0=LEN(ReferenceData!$AI$48),"",ReferenceData!$AI$48),"")</f>
        <v>3463</v>
      </c>
      <c r="AJ48">
        <f ca="1">IFERROR(IF(0=LEN(ReferenceData!$AJ$48),"",ReferenceData!$AJ$48),"")</f>
        <v>3524</v>
      </c>
      <c r="AK48">
        <f ca="1">IFERROR(IF(0=LEN(ReferenceData!$AK$48),"",ReferenceData!$AK$48),"")</f>
        <v>3993</v>
      </c>
      <c r="AL48">
        <f ca="1">IFERROR(IF(0=LEN(ReferenceData!$AL$48),"",ReferenceData!$AL$48),"")</f>
        <v>5198</v>
      </c>
      <c r="AM48">
        <f ca="1">IFERROR(IF(0=LEN(ReferenceData!$AM$48),"",ReferenceData!$AM$48),"")</f>
        <v>6264</v>
      </c>
      <c r="AN48">
        <f ca="1">IFERROR(IF(0=LEN(ReferenceData!$AN$48),"",ReferenceData!$AN$48),"")</f>
        <v>5605</v>
      </c>
      <c r="AO48">
        <f ca="1">IFERROR(IF(0=LEN(ReferenceData!$AO$48),"",ReferenceData!$AO$48),"")</f>
        <v>3602</v>
      </c>
      <c r="AP48">
        <f ca="1">IFERROR(IF(0=LEN(ReferenceData!$AP$48),"",ReferenceData!$AP$48),"")</f>
        <v>3535</v>
      </c>
      <c r="AQ48">
        <f ca="1">IFERROR(IF(0=LEN(ReferenceData!$AQ$48),"",ReferenceData!$AQ$48),"")</f>
        <v>5039</v>
      </c>
      <c r="AR48">
        <f ca="1">IFERROR(IF(0=LEN(ReferenceData!$AR$48),"",ReferenceData!$AR$48),"")</f>
        <v>5498</v>
      </c>
      <c r="AS48">
        <f ca="1">IFERROR(IF(0=LEN(ReferenceData!$AS$48),"",ReferenceData!$AS$48),"")</f>
        <v>4035</v>
      </c>
      <c r="AT48">
        <f ca="1">IFERROR(IF(0=LEN(ReferenceData!$AT$48),"",ReferenceData!$AT$48),"")</f>
        <v>3888</v>
      </c>
      <c r="AU48">
        <f ca="1">IFERROR(IF(0=LEN(ReferenceData!$AU$48),"",ReferenceData!$AU$48),"")</f>
        <v>4999</v>
      </c>
      <c r="AV48">
        <f ca="1">IFERROR(IF(0=LEN(ReferenceData!$AV$48),"",ReferenceData!$AV$48),"")</f>
        <v>4710</v>
      </c>
      <c r="AW48">
        <f ca="1">IFERROR(IF(0=LEN(ReferenceData!$AW$48),"",ReferenceData!$AW$48),"")</f>
        <v>3804</v>
      </c>
      <c r="AX48">
        <f ca="1">IFERROR(IF(0=LEN(ReferenceData!$AX$48),"",ReferenceData!$AX$48),"")</f>
        <v>5344</v>
      </c>
      <c r="AY48">
        <f ca="1">IFERROR(IF(0=LEN(ReferenceData!$AY$48),"",ReferenceData!$AY$48),"")</f>
        <v>8327</v>
      </c>
      <c r="AZ48">
        <f ca="1">IFERROR(IF(0=LEN(ReferenceData!$AZ$48),"",ReferenceData!$AZ$48),"")</f>
        <v>9260</v>
      </c>
      <c r="BA48">
        <f ca="1">IFERROR(IF(0=LEN(ReferenceData!$BA$48),"",ReferenceData!$BA$48),"")</f>
        <v>8665</v>
      </c>
      <c r="BB48">
        <f ca="1">IFERROR(IF(0=LEN(ReferenceData!$BB$48),"",ReferenceData!$BB$48),"")</f>
        <v>8570</v>
      </c>
      <c r="BC48">
        <f ca="1">IFERROR(IF(0=LEN(ReferenceData!$BC$48),"",ReferenceData!$BC$48),"")</f>
        <v>8234</v>
      </c>
      <c r="BD48">
        <f ca="1">IFERROR(IF(0=LEN(ReferenceData!$BD$48),"",ReferenceData!$BD$48),"")</f>
        <v>8045</v>
      </c>
      <c r="BE48">
        <f ca="1">IFERROR(IF(0=LEN(ReferenceData!$BE$48),"",ReferenceData!$BE$48),"")</f>
        <v>8250</v>
      </c>
      <c r="BF48">
        <f ca="1">IFERROR(IF(0=LEN(ReferenceData!$BF$48),"",ReferenceData!$BF$48),"")</f>
        <v>8424</v>
      </c>
      <c r="BG48">
        <f ca="1">IFERROR(IF(0=LEN(ReferenceData!$BG$48),"",ReferenceData!$BG$48),"")</f>
        <v>5549</v>
      </c>
      <c r="BH48">
        <f ca="1">IFERROR(IF(0=LEN(ReferenceData!$BH$48),"",ReferenceData!$BH$48),"")</f>
        <v>3888</v>
      </c>
      <c r="BI48">
        <f ca="1">IFERROR(IF(0=LEN(ReferenceData!$BI$48),"",ReferenceData!$BI$48),"")</f>
        <v>5802</v>
      </c>
      <c r="BJ48">
        <f ca="1">IFERROR(IF(0=LEN(ReferenceData!$BJ$48),"",ReferenceData!$BJ$48),"")</f>
        <v>8406</v>
      </c>
      <c r="BK48">
        <f ca="1">IFERROR(IF(0=LEN(ReferenceData!$BK$48),"",ReferenceData!$BK$48),"")</f>
        <v>6656</v>
      </c>
      <c r="BL48">
        <f ca="1">IFERROR(IF(0=LEN(ReferenceData!$BL$48),"",ReferenceData!$BL$48),"")</f>
        <v>5013</v>
      </c>
      <c r="BM48">
        <f ca="1">IFERROR(IF(0=LEN(ReferenceData!$BM$48),"",ReferenceData!$BM$48),"")</f>
        <v>4791</v>
      </c>
    </row>
    <row r="49" spans="1:65">
      <c r="A49" t="str">
        <f>IFERROR(IF(0=LEN(ReferenceData!$A$49),"",ReferenceData!$A$49),"")</f>
        <v xml:space="preserve">    Citigroup Inc</v>
      </c>
      <c r="B49" t="str">
        <f>IFERROR(IF(0=LEN(ReferenceData!$B$49),"",ReferenceData!$B$49),"")</f>
        <v>C US Equity</v>
      </c>
      <c r="C49" t="str">
        <f>IFERROR(IF(0=LEN(ReferenceData!$C$49),"",ReferenceData!$C$49),"")</f>
        <v>IS688</v>
      </c>
      <c r="D49" t="str">
        <f>IFERROR(IF(0=LEN(ReferenceData!$D$49),"",ReferenceData!$D$49),"")</f>
        <v>IS_RESIDENTIAL_MTG_ORIGINATIONS</v>
      </c>
      <c r="E49" t="str">
        <f>IFERROR(IF(0=LEN(ReferenceData!$E$49),"",ReferenceData!$E$49),"")</f>
        <v>Dynamic</v>
      </c>
      <c r="F49">
        <f ca="1">IFERROR(IF(0=LEN(ReferenceData!$F$49),"",ReferenceData!$F$49),"")</f>
        <v>4200</v>
      </c>
      <c r="G49">
        <f ca="1">IFERROR(IF(0=LEN(ReferenceData!$G$49),"",ReferenceData!$G$49),"")</f>
        <v>4600</v>
      </c>
      <c r="H49">
        <f ca="1">IFERROR(IF(0=LEN(ReferenceData!$H$49),"",ReferenceData!$H$49),"")</f>
        <v>4300</v>
      </c>
      <c r="I49">
        <f ca="1">IFERROR(IF(0=LEN(ReferenceData!$I$49),"",ReferenceData!$I$49),"")</f>
        <v>3100</v>
      </c>
      <c r="J49">
        <f ca="1">IFERROR(IF(0=LEN(ReferenceData!$J$49),"",ReferenceData!$J$49),"")</f>
        <v>2800</v>
      </c>
      <c r="K49">
        <f ca="1">IFERROR(IF(0=LEN(ReferenceData!$K$49),"",ReferenceData!$K$49),"")</f>
        <v>3900</v>
      </c>
      <c r="L49">
        <f ca="1">IFERROR(IF(0=LEN(ReferenceData!$L$49),"",ReferenceData!$L$49),"")</f>
        <v>4500</v>
      </c>
      <c r="M49">
        <f ca="1">IFERROR(IF(0=LEN(ReferenceData!$M$49),"",ReferenceData!$M$49),"")</f>
        <v>3300</v>
      </c>
      <c r="N49">
        <f ca="1">IFERROR(IF(0=LEN(ReferenceData!$N$49),"",ReferenceData!$N$49),"")</f>
        <v>2700</v>
      </c>
      <c r="O49">
        <f ca="1">IFERROR(IF(0=LEN(ReferenceData!$O$49),"",ReferenceData!$O$49),"")</f>
        <v>4200</v>
      </c>
      <c r="P49">
        <f ca="1">IFERROR(IF(0=LEN(ReferenceData!$P$49),"",ReferenceData!$P$49),"")</f>
        <v>4100</v>
      </c>
      <c r="Q49">
        <f ca="1">IFERROR(IF(0=LEN(ReferenceData!$Q$49),"",ReferenceData!$Q$49),"")</f>
        <v>3100</v>
      </c>
      <c r="R49">
        <f ca="1">IFERROR(IF(0=LEN(ReferenceData!$R$49),"",ReferenceData!$R$49),"")</f>
        <v>4800</v>
      </c>
      <c r="S49">
        <f ca="1">IFERROR(IF(0=LEN(ReferenceData!$S$49),"",ReferenceData!$S$49),"")</f>
        <v>3400</v>
      </c>
      <c r="T49">
        <f ca="1">IFERROR(IF(0=LEN(ReferenceData!$T$49),"",ReferenceData!$T$49),"")</f>
        <v>5600</v>
      </c>
      <c r="U49">
        <f ca="1">IFERROR(IF(0=LEN(ReferenceData!$U$49),"",ReferenceData!$U$49),"")</f>
        <v>5700</v>
      </c>
      <c r="V49">
        <f ca="1">IFERROR(IF(0=LEN(ReferenceData!$V$49),"",ReferenceData!$V$49),"")</f>
        <v>6600</v>
      </c>
      <c r="W49">
        <f ca="1">IFERROR(IF(0=LEN(ReferenceData!$W$49),"",ReferenceData!$W$49),"")</f>
        <v>6600</v>
      </c>
      <c r="X49">
        <f ca="1">IFERROR(IF(0=LEN(ReferenceData!$X$49),"",ReferenceData!$X$49),"")</f>
        <v>6400</v>
      </c>
      <c r="Y49">
        <f ca="1">IFERROR(IF(0=LEN(ReferenceData!$Y$49),"",ReferenceData!$Y$49),"")</f>
        <v>4100</v>
      </c>
      <c r="Z49">
        <f ca="1">IFERROR(IF(0=LEN(ReferenceData!$Z$49),"",ReferenceData!$Z$49),"")</f>
        <v>6000</v>
      </c>
      <c r="AA49">
        <f ca="1">IFERROR(IF(0=LEN(ReferenceData!$AA$49),"",ReferenceData!$AA$49),"")</f>
        <v>5000</v>
      </c>
      <c r="AB49">
        <f ca="1">IFERROR(IF(0=LEN(ReferenceData!$AB$49),"",ReferenceData!$AB$49),"")</f>
        <v>3900</v>
      </c>
      <c r="AC49">
        <f ca="1">IFERROR(IF(0=LEN(ReferenceData!$AC$49),"",ReferenceData!$AC$49),"")</f>
        <v>2000</v>
      </c>
      <c r="AD49">
        <f ca="1">IFERROR(IF(0=LEN(ReferenceData!$AD$49),"",ReferenceData!$AD$49),"")</f>
        <v>2300</v>
      </c>
      <c r="AE49">
        <f ca="1">IFERROR(IF(0=LEN(ReferenceData!$AE$49),"",ReferenceData!$AE$49),"")</f>
        <v>2700</v>
      </c>
      <c r="AF49">
        <f ca="1">IFERROR(IF(0=LEN(ReferenceData!$AF$49),"",ReferenceData!$AF$49),"")</f>
        <v>2600</v>
      </c>
      <c r="AG49">
        <f ca="1">IFERROR(IF(0=LEN(ReferenceData!$AG$49),"",ReferenceData!$AG$49),"")</f>
        <v>2300</v>
      </c>
      <c r="AH49">
        <f ca="1">IFERROR(IF(0=LEN(ReferenceData!$AH$49),"",ReferenceData!$AH$49),"")</f>
        <v>3000</v>
      </c>
      <c r="AI49">
        <f ca="1">IFERROR(IF(0=LEN(ReferenceData!$AI$49),"",ReferenceData!$AI$49),"")</f>
        <v>3200</v>
      </c>
      <c r="AJ49">
        <f ca="1">IFERROR(IF(0=LEN(ReferenceData!$AJ$49),"",ReferenceData!$AJ$49),"")</f>
        <v>3100</v>
      </c>
      <c r="AK49">
        <f ca="1">IFERROR(IF(0=LEN(ReferenceData!$AK$49),"",ReferenceData!$AK$49),"")</f>
        <v>3800</v>
      </c>
      <c r="AL49">
        <f ca="1">IFERROR(IF(0=LEN(ReferenceData!$AL$49),"",ReferenceData!$AL$49),"")</f>
        <v>5600</v>
      </c>
      <c r="AM49">
        <f ca="1">IFERROR(IF(0=LEN(ReferenceData!$AM$49),"",ReferenceData!$AM$49),"")</f>
        <v>6500</v>
      </c>
      <c r="AN49">
        <f ca="1">IFERROR(IF(0=LEN(ReferenceData!$AN$49),"",ReferenceData!$AN$49),"")</f>
        <v>6400</v>
      </c>
      <c r="AO49">
        <f ca="1">IFERROR(IF(0=LEN(ReferenceData!$AO$49),"",ReferenceData!$AO$49),"")</f>
        <v>5500</v>
      </c>
      <c r="AP49">
        <f ca="1">IFERROR(IF(0=LEN(ReferenceData!$AP$49),"",ReferenceData!$AP$49),"")</f>
        <v>6200</v>
      </c>
      <c r="AQ49">
        <f ca="1">IFERROR(IF(0=LEN(ReferenceData!$AQ$49),"",ReferenceData!$AQ$49),"")</f>
        <v>7500</v>
      </c>
      <c r="AR49">
        <f ca="1">IFERROR(IF(0=LEN(ReferenceData!$AR$49),"",ReferenceData!$AR$49),"")</f>
        <v>8800</v>
      </c>
      <c r="AS49">
        <f ca="1">IFERROR(IF(0=LEN(ReferenceData!$AS$49),"",ReferenceData!$AS$49),"")</f>
        <v>7000</v>
      </c>
      <c r="AT49">
        <f ca="1">IFERROR(IF(0=LEN(ReferenceData!$AT$49),"",ReferenceData!$AT$49),"")</f>
        <v>6700</v>
      </c>
      <c r="AU49">
        <f ca="1">IFERROR(IF(0=LEN(ReferenceData!$AU$49),"",ReferenceData!$AU$49),"")</f>
        <v>7100</v>
      </c>
      <c r="AV49">
        <f ca="1">IFERROR(IF(0=LEN(ReferenceData!$AV$49),"",ReferenceData!$AV$49),"")</f>
        <v>6200</v>
      </c>
      <c r="AW49">
        <f ca="1">IFERROR(IF(0=LEN(ReferenceData!$AW$49),"",ReferenceData!$AW$49),"")</f>
        <v>5200</v>
      </c>
      <c r="AX49">
        <f ca="1">IFERROR(IF(0=LEN(ReferenceData!$AX$49),"",ReferenceData!$AX$49),"")</f>
        <v>8300</v>
      </c>
      <c r="AY49">
        <f ca="1">IFERROR(IF(0=LEN(ReferenceData!$AY$49),"",ReferenceData!$AY$49),"")</f>
        <v>14500</v>
      </c>
      <c r="AZ49">
        <f ca="1">IFERROR(IF(0=LEN(ReferenceData!$AZ$49),"",ReferenceData!$AZ$49),"")</f>
        <v>17200</v>
      </c>
      <c r="BA49">
        <f ca="1">IFERROR(IF(0=LEN(ReferenceData!$BA$49),"",ReferenceData!$BA$49),"")</f>
        <v>18000</v>
      </c>
      <c r="BB49">
        <f ca="1">IFERROR(IF(0=LEN(ReferenceData!$BB$49),"",ReferenceData!$BB$49),"")</f>
        <v>16800</v>
      </c>
      <c r="BC49">
        <f ca="1">IFERROR(IF(0=LEN(ReferenceData!$BC$49),"",ReferenceData!$BC$49),"")</f>
        <v>14500</v>
      </c>
      <c r="BD49">
        <f ca="1">IFERROR(IF(0=LEN(ReferenceData!$BD$49),"",ReferenceData!$BD$49),"")</f>
        <v>12900</v>
      </c>
      <c r="BE49">
        <f ca="1">IFERROR(IF(0=LEN(ReferenceData!$BE$49),"",ReferenceData!$BE$49),"")</f>
        <v>14300</v>
      </c>
      <c r="BF49">
        <f ca="1">IFERROR(IF(0=LEN(ReferenceData!$BF$49),"",ReferenceData!$BF$49),"")</f>
        <v>21100</v>
      </c>
      <c r="BG49">
        <f ca="1">IFERROR(IF(0=LEN(ReferenceData!$BG$49),"",ReferenceData!$BG$49),"")</f>
        <v>17000</v>
      </c>
      <c r="BH49">
        <f ca="1">IFERROR(IF(0=LEN(ReferenceData!$BH$49),"",ReferenceData!$BH$49),"")</f>
        <v>11000</v>
      </c>
      <c r="BI49">
        <f ca="1">IFERROR(IF(0=LEN(ReferenceData!$BI$49),"",ReferenceData!$BI$49),"")</f>
        <v>14100</v>
      </c>
      <c r="BJ49">
        <f ca="1">IFERROR(IF(0=LEN(ReferenceData!$BJ$49),"",ReferenceData!$BJ$49),"")</f>
        <v>21800</v>
      </c>
      <c r="BK49">
        <f ca="1">IFERROR(IF(0=LEN(ReferenceData!$BK$49),"",ReferenceData!$BK$49),"")</f>
        <v>18600</v>
      </c>
      <c r="BL49">
        <f ca="1">IFERROR(IF(0=LEN(ReferenceData!$BL$49),"",ReferenceData!$BL$49),"")</f>
        <v>10300</v>
      </c>
      <c r="BM49" t="str">
        <f ca="1">IFERROR(IF(0=LEN(ReferenceData!$BM$49),"",ReferenceData!$BM$49),"")</f>
        <v/>
      </c>
    </row>
    <row r="50" spans="1:65">
      <c r="A50" t="str">
        <f>IFERROR(IF(0=LEN(ReferenceData!$A$50),"",ReferenceData!$A$50),"")</f>
        <v xml:space="preserve">    Fifth Third Bancorp</v>
      </c>
      <c r="B50" t="str">
        <f>IFERROR(IF(0=LEN(ReferenceData!$B$50),"",ReferenceData!$B$50),"")</f>
        <v>FITB US Equity</v>
      </c>
      <c r="C50" t="str">
        <f>IFERROR(IF(0=LEN(ReferenceData!$C$50),"",ReferenceData!$C$50),"")</f>
        <v>IS688</v>
      </c>
      <c r="D50" t="str">
        <f>IFERROR(IF(0=LEN(ReferenceData!$D$50),"",ReferenceData!$D$50),"")</f>
        <v>IS_RESIDENTIAL_MTG_ORIGINATIONS</v>
      </c>
      <c r="E50" t="str">
        <f>IFERROR(IF(0=LEN(ReferenceData!$E$50),"",ReferenceData!$E$50),"")</f>
        <v>Dynamic</v>
      </c>
      <c r="F50">
        <f ca="1">IFERROR(IF(0=LEN(ReferenceData!$F$50),"",ReferenceData!$F$50),"")</f>
        <v>1900</v>
      </c>
      <c r="G50">
        <f ca="1">IFERROR(IF(0=LEN(ReferenceData!$G$50),"",ReferenceData!$G$50),"")</f>
        <v>1900</v>
      </c>
      <c r="H50">
        <f ca="1">IFERROR(IF(0=LEN(ReferenceData!$H$50),"",ReferenceData!$H$50),"")</f>
        <v>1600</v>
      </c>
      <c r="I50">
        <f ca="1">IFERROR(IF(0=LEN(ReferenceData!$I$50),"",ReferenceData!$I$50),"")</f>
        <v>1100</v>
      </c>
      <c r="J50">
        <f ca="1">IFERROR(IF(0=LEN(ReferenceData!$J$50),"",ReferenceData!$J$50),"")</f>
        <v>1000</v>
      </c>
      <c r="K50">
        <f ca="1">IFERROR(IF(0=LEN(ReferenceData!$K$50),"",ReferenceData!$K$50),"")</f>
        <v>1500</v>
      </c>
      <c r="L50">
        <f ca="1">IFERROR(IF(0=LEN(ReferenceData!$L$50),"",ReferenceData!$L$50),"")</f>
        <v>1700</v>
      </c>
      <c r="M50">
        <f ca="1">IFERROR(IF(0=LEN(ReferenceData!$M$50),"",ReferenceData!$M$50),"")</f>
        <v>1400</v>
      </c>
      <c r="N50">
        <f ca="1">IFERROR(IF(0=LEN(ReferenceData!$N$50),"",ReferenceData!$N$50),"")</f>
        <v>2300</v>
      </c>
      <c r="O50">
        <f ca="1">IFERROR(IF(0=LEN(ReferenceData!$O$50),"",ReferenceData!$O$50),"")</f>
        <v>4000</v>
      </c>
      <c r="P50">
        <f ca="1">IFERROR(IF(0=LEN(ReferenceData!$P$50),"",ReferenceData!$P$50),"")</f>
        <v>4300</v>
      </c>
      <c r="Q50">
        <f ca="1">IFERROR(IF(0=LEN(ReferenceData!$Q$50),"",ReferenceData!$Q$50),"")</f>
        <v>3500</v>
      </c>
      <c r="R50">
        <f ca="1">IFERROR(IF(0=LEN(ReferenceData!$R$50),"",ReferenceData!$R$50),"")</f>
        <v>4300</v>
      </c>
      <c r="S50">
        <f ca="1">IFERROR(IF(0=LEN(ReferenceData!$S$50),"",ReferenceData!$S$50),"")</f>
        <v>5000</v>
      </c>
      <c r="T50">
        <f ca="1">IFERROR(IF(0=LEN(ReferenceData!$T$50),"",ReferenceData!$T$50),"")</f>
        <v>5000</v>
      </c>
      <c r="U50">
        <f ca="1">IFERROR(IF(0=LEN(ReferenceData!$U$50),"",ReferenceData!$U$50),"")</f>
        <v>4700</v>
      </c>
      <c r="V50">
        <f ca="1">IFERROR(IF(0=LEN(ReferenceData!$V$50),"",ReferenceData!$V$50),"")</f>
        <v>3900</v>
      </c>
      <c r="W50">
        <f ca="1">IFERROR(IF(0=LEN(ReferenceData!$W$50),"",ReferenceData!$W$50),"")</f>
        <v>4500</v>
      </c>
      <c r="X50">
        <f ca="1">IFERROR(IF(0=LEN(ReferenceData!$X$50),"",ReferenceData!$X$50),"")</f>
        <v>3400</v>
      </c>
      <c r="Y50">
        <f ca="1">IFERROR(IF(0=LEN(ReferenceData!$Y$50),"",ReferenceData!$Y$50),"")</f>
        <v>4000</v>
      </c>
      <c r="Z50">
        <f ca="1">IFERROR(IF(0=LEN(ReferenceData!$Z$50),"",ReferenceData!$Z$50),"")</f>
        <v>3800</v>
      </c>
      <c r="AA50">
        <f ca="1">IFERROR(IF(0=LEN(ReferenceData!$AA$50),"",ReferenceData!$AA$50),"")</f>
        <v>3400</v>
      </c>
      <c r="AB50">
        <f ca="1">IFERROR(IF(0=LEN(ReferenceData!$AB$50),"",ReferenceData!$AB$50),"")</f>
        <v>2900</v>
      </c>
      <c r="AC50">
        <f ca="1">IFERROR(IF(0=LEN(ReferenceData!$AC$50),"",ReferenceData!$AC$50),"")</f>
        <v>1600</v>
      </c>
      <c r="AD50">
        <f ca="1">IFERROR(IF(0=LEN(ReferenceData!$AD$50),"",ReferenceData!$AD$50),"")</f>
        <v>1600</v>
      </c>
      <c r="AE50">
        <f ca="1">IFERROR(IF(0=LEN(ReferenceData!$AE$50),"",ReferenceData!$AE$50),"")</f>
        <v>1900</v>
      </c>
      <c r="AF50">
        <f ca="1">IFERROR(IF(0=LEN(ReferenceData!$AF$50),"",ReferenceData!$AF$50),"")</f>
        <v>2100</v>
      </c>
      <c r="AG50">
        <f ca="1">IFERROR(IF(0=LEN(ReferenceData!$AG$50),"",ReferenceData!$AG$50),"")</f>
        <v>1600</v>
      </c>
      <c r="AH50">
        <f ca="1">IFERROR(IF(0=LEN(ReferenceData!$AH$50),"",ReferenceData!$AH$50),"")</f>
        <v>1900</v>
      </c>
      <c r="AI50">
        <f ca="1">IFERROR(IF(0=LEN(ReferenceData!$AI$50),"",ReferenceData!$AI$50),"")</f>
        <v>2100</v>
      </c>
      <c r="AJ50">
        <f ca="1">IFERROR(IF(0=LEN(ReferenceData!$AJ$50),"",ReferenceData!$AJ$50),"")</f>
        <v>2300</v>
      </c>
      <c r="AK50">
        <f ca="1">IFERROR(IF(0=LEN(ReferenceData!$AK$50),"",ReferenceData!$AK$50),"")</f>
        <v>1900</v>
      </c>
      <c r="AL50">
        <f ca="1">IFERROR(IF(0=LEN(ReferenceData!$AL$50),"",ReferenceData!$AL$50),"")</f>
        <v>2700</v>
      </c>
      <c r="AM50">
        <f ca="1">IFERROR(IF(0=LEN(ReferenceData!$AM$50),"",ReferenceData!$AM$50),"")</f>
        <v>2900</v>
      </c>
      <c r="AN50">
        <f ca="1">IFERROR(IF(0=LEN(ReferenceData!$AN$50),"",ReferenceData!$AN$50),"")</f>
        <v>2700</v>
      </c>
      <c r="AO50">
        <f ca="1">IFERROR(IF(0=LEN(ReferenceData!$AO$50),"",ReferenceData!$AO$50),"")</f>
        <v>1800</v>
      </c>
      <c r="AP50">
        <f ca="1">IFERROR(IF(0=LEN(ReferenceData!$AP$50),"",ReferenceData!$AP$50),"")</f>
        <v>1800</v>
      </c>
      <c r="AQ50">
        <f ca="1">IFERROR(IF(0=LEN(ReferenceData!$AQ$50),"",ReferenceData!$AQ$50),"")</f>
        <v>2300</v>
      </c>
      <c r="AR50">
        <f ca="1">IFERROR(IF(0=LEN(ReferenceData!$AR$50),"",ReferenceData!$AR$50),"")</f>
        <v>2500</v>
      </c>
      <c r="AS50">
        <f ca="1">IFERROR(IF(0=LEN(ReferenceData!$AS$50),"",ReferenceData!$AS$50),"")</f>
        <v>1800</v>
      </c>
      <c r="AT50">
        <f ca="1">IFERROR(IF(0=LEN(ReferenceData!$AT$50),"",ReferenceData!$AT$50),"")</f>
        <v>1700</v>
      </c>
      <c r="AU50">
        <f ca="1">IFERROR(IF(0=LEN(ReferenceData!$AU$50),"",ReferenceData!$AU$50),"")</f>
        <v>2100</v>
      </c>
      <c r="AV50">
        <f ca="1">IFERROR(IF(0=LEN(ReferenceData!$AV$50),"",ReferenceData!$AV$50),"")</f>
        <v>2000</v>
      </c>
      <c r="AW50">
        <f ca="1">IFERROR(IF(0=LEN(ReferenceData!$AW$50),"",ReferenceData!$AW$50),"")</f>
        <v>1700</v>
      </c>
      <c r="AX50">
        <f ca="1">IFERROR(IF(0=LEN(ReferenceData!$AX$50),"",ReferenceData!$AX$50),"")</f>
        <v>2600</v>
      </c>
      <c r="AY50">
        <f ca="1">IFERROR(IF(0=LEN(ReferenceData!$AY$50),"",ReferenceData!$AY$50),"")</f>
        <v>4800</v>
      </c>
      <c r="AZ50">
        <f ca="1">IFERROR(IF(0=LEN(ReferenceData!$AZ$50),"",ReferenceData!$AZ$50),"")</f>
        <v>7500</v>
      </c>
      <c r="BA50">
        <f ca="1">IFERROR(IF(0=LEN(ReferenceData!$BA$50),"",ReferenceData!$BA$50),"")</f>
        <v>7400</v>
      </c>
      <c r="BB50">
        <f ca="1">IFERROR(IF(0=LEN(ReferenceData!$BB$50),"",ReferenceData!$BB$50),"")</f>
        <v>7000</v>
      </c>
      <c r="BC50">
        <f ca="1">IFERROR(IF(0=LEN(ReferenceData!$BC$50),"",ReferenceData!$BC$50),"")</f>
        <v>5800</v>
      </c>
      <c r="BD50">
        <f ca="1">IFERROR(IF(0=LEN(ReferenceData!$BD$50),"",ReferenceData!$BD$50),"")</f>
        <v>5900</v>
      </c>
      <c r="BE50">
        <f ca="1">IFERROR(IF(0=LEN(ReferenceData!$BE$50),"",ReferenceData!$BE$50),"")</f>
        <v>6400</v>
      </c>
      <c r="BF50">
        <f ca="1">IFERROR(IF(0=LEN(ReferenceData!$BF$50),"",ReferenceData!$BF$50),"")</f>
        <v>7100</v>
      </c>
      <c r="BG50">
        <f ca="1">IFERROR(IF(0=LEN(ReferenceData!$BG$50),"",ReferenceData!$BG$50),"")</f>
        <v>4500</v>
      </c>
      <c r="BH50">
        <f ca="1">IFERROR(IF(0=LEN(ReferenceData!$BH$50),"",ReferenceData!$BH$50),"")</f>
        <v>3100</v>
      </c>
      <c r="BI50">
        <f ca="1">IFERROR(IF(0=LEN(ReferenceData!$BI$50),"",ReferenceData!$BI$50),"")</f>
        <v>3900</v>
      </c>
      <c r="BJ50">
        <f ca="1">IFERROR(IF(0=LEN(ReferenceData!$BJ$50),"",ReferenceData!$BJ$50),"")</f>
        <v>7400</v>
      </c>
      <c r="BK50">
        <f ca="1">IFERROR(IF(0=LEN(ReferenceData!$BK$50),"",ReferenceData!$BK$50),"")</f>
        <v>5600</v>
      </c>
      <c r="BL50">
        <f ca="1">IFERROR(IF(0=LEN(ReferenceData!$BL$50),"",ReferenceData!$BL$50),"")</f>
        <v>3800</v>
      </c>
      <c r="BM50" t="str">
        <f ca="1">IFERROR(IF(0=LEN(ReferenceData!$BM$50),"",ReferenceData!$BM$50),"")</f>
        <v/>
      </c>
    </row>
    <row r="51" spans="1:65">
      <c r="A51" t="str">
        <f>IFERROR(IF(0=LEN(ReferenceData!$A$51),"",ReferenceData!$A$51),"")</f>
        <v xml:space="preserve">    First Horizon National Corp</v>
      </c>
      <c r="B51" t="str">
        <f>IFERROR(IF(0=LEN(ReferenceData!$B$51),"",ReferenceData!$B$51),"")</f>
        <v>FHN US Equity</v>
      </c>
      <c r="C51" t="str">
        <f>IFERROR(IF(0=LEN(ReferenceData!$C$51),"",ReferenceData!$C$51),"")</f>
        <v>IS688</v>
      </c>
      <c r="D51" t="str">
        <f>IFERROR(IF(0=LEN(ReferenceData!$D$51),"",ReferenceData!$D$51),"")</f>
        <v>IS_RESIDENTIAL_MTG_ORIGINATIONS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 t="str">
        <f ca="1">IFERROR(IF(0=LEN(ReferenceData!$G$51),"",ReferenceData!$G$51),"")</f>
        <v/>
      </c>
      <c r="H51" t="str">
        <f ca="1">IFERROR(IF(0=LEN(ReferenceData!$H$51),"",ReferenceData!$H$51),"")</f>
        <v/>
      </c>
      <c r="I51" t="str">
        <f ca="1">IFERROR(IF(0=LEN(ReferenceData!$I$51),"",ReferenceData!$I$51),"")</f>
        <v/>
      </c>
      <c r="J51" t="str">
        <f ca="1">IFERROR(IF(0=LEN(ReferenceData!$J$51),"",ReferenceData!$J$51),"")</f>
        <v/>
      </c>
      <c r="K51" t="str">
        <f ca="1">IFERROR(IF(0=LEN(ReferenceData!$K$51),"",ReferenceData!$K$51),"")</f>
        <v/>
      </c>
      <c r="L51" t="str">
        <f ca="1">IFERROR(IF(0=LEN(ReferenceData!$L$51),"",ReferenceData!$L$51),"")</f>
        <v/>
      </c>
      <c r="M51" t="str">
        <f ca="1">IFERROR(IF(0=LEN(ReferenceData!$M$51),"",ReferenceData!$M$51),"")</f>
        <v/>
      </c>
      <c r="N51" t="str">
        <f ca="1">IFERROR(IF(0=LEN(ReferenceData!$N$51),"",ReferenceData!$N$51),"")</f>
        <v/>
      </c>
      <c r="O51" t="str">
        <f ca="1">IFERROR(IF(0=LEN(ReferenceData!$O$51),"",ReferenceData!$O$51),"")</f>
        <v/>
      </c>
      <c r="P51" t="str">
        <f ca="1">IFERROR(IF(0=LEN(ReferenceData!$P$51),"",ReferenceData!$P$51),"")</f>
        <v/>
      </c>
      <c r="Q51" t="str">
        <f ca="1">IFERROR(IF(0=LEN(ReferenceData!$Q$51),"",ReferenceData!$Q$51),"")</f>
        <v/>
      </c>
      <c r="R51" t="str">
        <f ca="1">IFERROR(IF(0=LEN(ReferenceData!$R$51),"",ReferenceData!$R$51),"")</f>
        <v/>
      </c>
      <c r="S51" t="str">
        <f ca="1">IFERROR(IF(0=LEN(ReferenceData!$S$51),"",ReferenceData!$S$51),"")</f>
        <v/>
      </c>
      <c r="T51" t="str">
        <f ca="1">IFERROR(IF(0=LEN(ReferenceData!$T$51),"",ReferenceData!$T$51),"")</f>
        <v/>
      </c>
      <c r="U51" t="str">
        <f ca="1">IFERROR(IF(0=LEN(ReferenceData!$U$51),"",ReferenceData!$U$51),"")</f>
        <v/>
      </c>
      <c r="V51" t="str">
        <f ca="1">IFERROR(IF(0=LEN(ReferenceData!$V$51),"",ReferenceData!$V$51),"")</f>
        <v/>
      </c>
      <c r="W51" t="str">
        <f ca="1">IFERROR(IF(0=LEN(ReferenceData!$W$51),"",ReferenceData!$W$51),"")</f>
        <v/>
      </c>
      <c r="X51" t="str">
        <f ca="1">IFERROR(IF(0=LEN(ReferenceData!$X$51),"",ReferenceData!$X$51),"")</f>
        <v/>
      </c>
      <c r="Y51" t="str">
        <f ca="1">IFERROR(IF(0=LEN(ReferenceData!$Y$51),"",ReferenceData!$Y$51),"")</f>
        <v/>
      </c>
      <c r="Z51" t="str">
        <f ca="1">IFERROR(IF(0=LEN(ReferenceData!$Z$51),"",ReferenceData!$Z$51),"")</f>
        <v/>
      </c>
      <c r="AA51" t="str">
        <f ca="1">IFERROR(IF(0=LEN(ReferenceData!$AA$51),"",ReferenceData!$AA$51),"")</f>
        <v/>
      </c>
      <c r="AB51" t="str">
        <f ca="1">IFERROR(IF(0=LEN(ReferenceData!$AB$51),"",ReferenceData!$AB$51),"")</f>
        <v/>
      </c>
      <c r="AC51" t="str">
        <f ca="1">IFERROR(IF(0=LEN(ReferenceData!$AC$51),"",ReferenceData!$AC$51),"")</f>
        <v/>
      </c>
      <c r="AD51" t="str">
        <f ca="1">IFERROR(IF(0=LEN(ReferenceData!$AD$51),"",ReferenceData!$AD$51),"")</f>
        <v/>
      </c>
      <c r="AE51" t="str">
        <f ca="1">IFERROR(IF(0=LEN(ReferenceData!$AE$51),"",ReferenceData!$AE$51),"")</f>
        <v/>
      </c>
      <c r="AF51" t="str">
        <f ca="1">IFERROR(IF(0=LEN(ReferenceData!$AF$51),"",ReferenceData!$AF$51),"")</f>
        <v/>
      </c>
      <c r="AG51" t="str">
        <f ca="1">IFERROR(IF(0=LEN(ReferenceData!$AG$51),"",ReferenceData!$AG$51),"")</f>
        <v/>
      </c>
      <c r="AH51" t="str">
        <f ca="1">IFERROR(IF(0=LEN(ReferenceData!$AH$51),"",ReferenceData!$AH$51),"")</f>
        <v/>
      </c>
      <c r="AI51" t="str">
        <f ca="1">IFERROR(IF(0=LEN(ReferenceData!$AI$51),"",ReferenceData!$AI$51),"")</f>
        <v/>
      </c>
      <c r="AJ51" t="str">
        <f ca="1">IFERROR(IF(0=LEN(ReferenceData!$AJ$51),"",ReferenceData!$AJ$51),"")</f>
        <v/>
      </c>
      <c r="AK51" t="str">
        <f ca="1">IFERROR(IF(0=LEN(ReferenceData!$AK$51),"",ReferenceData!$AK$51),"")</f>
        <v/>
      </c>
      <c r="AL51" t="str">
        <f ca="1">IFERROR(IF(0=LEN(ReferenceData!$AL$51),"",ReferenceData!$AL$51),"")</f>
        <v/>
      </c>
      <c r="AM51" t="str">
        <f ca="1">IFERROR(IF(0=LEN(ReferenceData!$AM$51),"",ReferenceData!$AM$51),"")</f>
        <v/>
      </c>
      <c r="AN51" t="str">
        <f ca="1">IFERROR(IF(0=LEN(ReferenceData!$AN$51),"",ReferenceData!$AN$51),"")</f>
        <v/>
      </c>
      <c r="AO51" t="str">
        <f ca="1">IFERROR(IF(0=LEN(ReferenceData!$AO$51),"",ReferenceData!$AO$51),"")</f>
        <v/>
      </c>
      <c r="AP51" t="str">
        <f ca="1">IFERROR(IF(0=LEN(ReferenceData!$AP$51),"",ReferenceData!$AP$51),"")</f>
        <v/>
      </c>
      <c r="AQ51" t="str">
        <f ca="1">IFERROR(IF(0=LEN(ReferenceData!$AQ$51),"",ReferenceData!$AQ$51),"")</f>
        <v/>
      </c>
      <c r="AR51" t="str">
        <f ca="1">IFERROR(IF(0=LEN(ReferenceData!$AR$51),"",ReferenceData!$AR$51),"")</f>
        <v/>
      </c>
      <c r="AS51" t="str">
        <f ca="1">IFERROR(IF(0=LEN(ReferenceData!$AS$51),"",ReferenceData!$AS$51),"")</f>
        <v/>
      </c>
      <c r="AT51" t="str">
        <f ca="1">IFERROR(IF(0=LEN(ReferenceData!$AT$51),"",ReferenceData!$AT$51),"")</f>
        <v/>
      </c>
      <c r="AU51" t="str">
        <f ca="1">IFERROR(IF(0=LEN(ReferenceData!$AU$51),"",ReferenceData!$AU$51),"")</f>
        <v/>
      </c>
      <c r="AV51" t="str">
        <f ca="1">IFERROR(IF(0=LEN(ReferenceData!$AV$51),"",ReferenceData!$AV$51),"")</f>
        <v/>
      </c>
      <c r="AW51" t="str">
        <f ca="1">IFERROR(IF(0=LEN(ReferenceData!$AW$51),"",ReferenceData!$AW$51),"")</f>
        <v/>
      </c>
      <c r="AX51" t="str">
        <f ca="1">IFERROR(IF(0=LEN(ReferenceData!$AX$51),"",ReferenceData!$AX$51),"")</f>
        <v/>
      </c>
      <c r="AY51" t="str">
        <f ca="1">IFERROR(IF(0=LEN(ReferenceData!$AY$51),"",ReferenceData!$AY$51),"")</f>
        <v/>
      </c>
      <c r="AZ51" t="str">
        <f ca="1">IFERROR(IF(0=LEN(ReferenceData!$AZ$51),"",ReferenceData!$AZ$51),"")</f>
        <v/>
      </c>
      <c r="BA51" t="str">
        <f ca="1">IFERROR(IF(0=LEN(ReferenceData!$BA$51),"",ReferenceData!$BA$51),"")</f>
        <v/>
      </c>
      <c r="BB51" t="str">
        <f ca="1">IFERROR(IF(0=LEN(ReferenceData!$BB$51),"",ReferenceData!$BB$51),"")</f>
        <v/>
      </c>
      <c r="BC51" t="str">
        <f ca="1">IFERROR(IF(0=LEN(ReferenceData!$BC$51),"",ReferenceData!$BC$51),"")</f>
        <v/>
      </c>
      <c r="BD51" t="str">
        <f ca="1">IFERROR(IF(0=LEN(ReferenceData!$BD$51),"",ReferenceData!$BD$51),"")</f>
        <v/>
      </c>
      <c r="BE51" t="str">
        <f ca="1">IFERROR(IF(0=LEN(ReferenceData!$BE$51),"",ReferenceData!$BE$51),"")</f>
        <v/>
      </c>
      <c r="BF51" t="str">
        <f ca="1">IFERROR(IF(0=LEN(ReferenceData!$BF$51),"",ReferenceData!$BF$51),"")</f>
        <v/>
      </c>
      <c r="BG51" t="str">
        <f ca="1">IFERROR(IF(0=LEN(ReferenceData!$BG$51),"",ReferenceData!$BG$51),"")</f>
        <v/>
      </c>
      <c r="BH51" t="str">
        <f ca="1">IFERROR(IF(0=LEN(ReferenceData!$BH$51),"",ReferenceData!$BH$51),"")</f>
        <v/>
      </c>
      <c r="BI51" t="str">
        <f ca="1">IFERROR(IF(0=LEN(ReferenceData!$BI$51),"",ReferenceData!$BI$51),"")</f>
        <v/>
      </c>
      <c r="BJ51" t="str">
        <f ca="1">IFERROR(IF(0=LEN(ReferenceData!$BJ$51),"",ReferenceData!$BJ$51),"")</f>
        <v/>
      </c>
      <c r="BK51">
        <f ca="1">IFERROR(IF(0=LEN(ReferenceData!$BK$51),"",ReferenceData!$BK$51),"")</f>
        <v>225</v>
      </c>
      <c r="BL51">
        <f ca="1">IFERROR(IF(0=LEN(ReferenceData!$BL$51),"",ReferenceData!$BL$51),"")</f>
        <v>176</v>
      </c>
      <c r="BM51" t="str">
        <f ca="1">IFERROR(IF(0=LEN(ReferenceData!$BM$51),"",ReferenceData!$BM$51),"")</f>
        <v/>
      </c>
    </row>
    <row r="52" spans="1:65">
      <c r="A52" t="str">
        <f>IFERROR(IF(0=LEN(ReferenceData!$A$52),"",ReferenceData!$A$52),"")</f>
        <v xml:space="preserve">    Huntington Bancshares Inc/OH</v>
      </c>
      <c r="B52" t="str">
        <f>IFERROR(IF(0=LEN(ReferenceData!$B$52),"",ReferenceData!$B$52),"")</f>
        <v>HBAN US Equity</v>
      </c>
      <c r="C52" t="str">
        <f>IFERROR(IF(0=LEN(ReferenceData!$C$52),"",ReferenceData!$C$52),"")</f>
        <v>IS688</v>
      </c>
      <c r="D52" t="str">
        <f>IFERROR(IF(0=LEN(ReferenceData!$D$52),"",ReferenceData!$D$52),"")</f>
        <v>IS_RESIDENTIAL_MTG_ORIGINATIONS</v>
      </c>
      <c r="E52" t="str">
        <f>IFERROR(IF(0=LEN(ReferenceData!$E$52),"",ReferenceData!$E$52),"")</f>
        <v>Dynamic</v>
      </c>
      <c r="F52">
        <f ca="1">IFERROR(IF(0=LEN(ReferenceData!$F$52),"",ReferenceData!$F$52),"")</f>
        <v>2093</v>
      </c>
      <c r="G52">
        <f ca="1">IFERROR(IF(0=LEN(ReferenceData!$G$52),"",ReferenceData!$G$52),"")</f>
        <v>1883</v>
      </c>
      <c r="H52">
        <f ca="1">IFERROR(IF(0=LEN(ReferenceData!$H$52),"",ReferenceData!$H$52),"")</f>
        <v>2164</v>
      </c>
      <c r="I52">
        <f ca="1">IFERROR(IF(0=LEN(ReferenceData!$I$52),"",ReferenceData!$I$52),"")</f>
        <v>1276</v>
      </c>
      <c r="J52">
        <f ca="1">IFERROR(IF(0=LEN(ReferenceData!$J$52),"",ReferenceData!$J$52),"")</f>
        <v>1666</v>
      </c>
      <c r="K52">
        <f ca="1">IFERROR(IF(0=LEN(ReferenceData!$K$52),"",ReferenceData!$K$52),"")</f>
        <v>2020</v>
      </c>
      <c r="L52">
        <f ca="1">IFERROR(IF(0=LEN(ReferenceData!$L$52),"",ReferenceData!$L$52),"")</f>
        <v>2504</v>
      </c>
      <c r="M52">
        <f ca="1">IFERROR(IF(0=LEN(ReferenceData!$M$52),"",ReferenceData!$M$52),"")</f>
        <v>1412</v>
      </c>
      <c r="N52">
        <f ca="1">IFERROR(IF(0=LEN(ReferenceData!$N$52),"",ReferenceData!$N$52),"")</f>
        <v>1719</v>
      </c>
      <c r="O52">
        <f ca="1">IFERROR(IF(0=LEN(ReferenceData!$O$52),"",ReferenceData!$O$52),"")</f>
        <v>2491</v>
      </c>
      <c r="P52">
        <f ca="1">IFERROR(IF(0=LEN(ReferenceData!$P$52),"",ReferenceData!$P$52),"")</f>
        <v>3366</v>
      </c>
      <c r="Q52">
        <f ca="1">IFERROR(IF(0=LEN(ReferenceData!$Q$52),"",ReferenceData!$Q$52),"")</f>
        <v>2881</v>
      </c>
      <c r="R52">
        <f ca="1">IFERROR(IF(0=LEN(ReferenceData!$R$52),"",ReferenceData!$R$52),"")</f>
        <v>3880</v>
      </c>
      <c r="S52">
        <f ca="1">IFERROR(IF(0=LEN(ReferenceData!$S$52),"",ReferenceData!$S$52),"")</f>
        <v>4467</v>
      </c>
      <c r="T52">
        <f ca="1">IFERROR(IF(0=LEN(ReferenceData!$T$52),"",ReferenceData!$T$52),"")</f>
        <v>4007</v>
      </c>
      <c r="U52">
        <f ca="1">IFERROR(IF(0=LEN(ReferenceData!$U$52),"",ReferenceData!$U$52),"")</f>
        <v>4042</v>
      </c>
      <c r="V52">
        <f ca="1">IFERROR(IF(0=LEN(ReferenceData!$V$52),"",ReferenceData!$V$52),"")</f>
        <v>3741</v>
      </c>
      <c r="W52">
        <f ca="1">IFERROR(IF(0=LEN(ReferenceData!$W$52),"",ReferenceData!$W$52),"")</f>
        <v>3811</v>
      </c>
      <c r="X52">
        <f ca="1">IFERROR(IF(0=LEN(ReferenceData!$X$52),"",ReferenceData!$X$52),"")</f>
        <v>3802</v>
      </c>
      <c r="Y52">
        <f ca="1">IFERROR(IF(0=LEN(ReferenceData!$Y$52),"",ReferenceData!$Y$52),"")</f>
        <v>2136</v>
      </c>
      <c r="Z52">
        <f ca="1">IFERROR(IF(0=LEN(ReferenceData!$Z$52),"",ReferenceData!$Z$52),"")</f>
        <v>2490</v>
      </c>
      <c r="AA52">
        <f ca="1">IFERROR(IF(0=LEN(ReferenceData!$AA$52),"",ReferenceData!$AA$52),"")</f>
        <v>2097</v>
      </c>
      <c r="AB52">
        <f ca="1">IFERROR(IF(0=LEN(ReferenceData!$AB$52),"",ReferenceData!$AB$52),"")</f>
        <v>1922</v>
      </c>
      <c r="AC52">
        <f ca="1">IFERROR(IF(0=LEN(ReferenceData!$AC$52),"",ReferenceData!$AC$52),"")</f>
        <v>1235</v>
      </c>
      <c r="AD52">
        <f ca="1">IFERROR(IF(0=LEN(ReferenceData!$AD$52),"",ReferenceData!$AD$52),"")</f>
        <v>1538</v>
      </c>
      <c r="AE52">
        <f ca="1">IFERROR(IF(0=LEN(ReferenceData!$AE$52),"",ReferenceData!$AE$52),"")</f>
        <v>1818</v>
      </c>
      <c r="AF52">
        <f ca="1">IFERROR(IF(0=LEN(ReferenceData!$AF$52),"",ReferenceData!$AF$52),"")</f>
        <v>2127</v>
      </c>
      <c r="AG52">
        <f ca="1">IFERROR(IF(0=LEN(ReferenceData!$AG$52),"",ReferenceData!$AG$52),"")</f>
        <v>1513</v>
      </c>
      <c r="AH52">
        <f ca="1">IFERROR(IF(0=LEN(ReferenceData!$AH$52),"",ReferenceData!$AH$52),"")</f>
        <v>1784</v>
      </c>
      <c r="AI52">
        <f ca="1">IFERROR(IF(0=LEN(ReferenceData!$AI$52),"",ReferenceData!$AI$52),"")</f>
        <v>1828</v>
      </c>
      <c r="AJ52">
        <f ca="1">IFERROR(IF(0=LEN(ReferenceData!$AJ$52),"",ReferenceData!$AJ$52),"")</f>
        <v>1756</v>
      </c>
      <c r="AK52">
        <f ca="1">IFERROR(IF(0=LEN(ReferenceData!$AK$52),"",ReferenceData!$AK$52),"")</f>
        <v>1266</v>
      </c>
      <c r="AL52">
        <f ca="1">IFERROR(IF(0=LEN(ReferenceData!$AL$52),"",ReferenceData!$AL$52),"")</f>
        <v>1542</v>
      </c>
      <c r="AM52">
        <f ca="1">IFERROR(IF(0=LEN(ReferenceData!$AM$52),"",ReferenceData!$AM$52),"")</f>
        <v>1745</v>
      </c>
      <c r="AN52">
        <f ca="1">IFERROR(IF(0=LEN(ReferenceData!$AN$52),"",ReferenceData!$AN$52),"")</f>
        <v>1599</v>
      </c>
      <c r="AO52">
        <f ca="1">IFERROR(IF(0=LEN(ReferenceData!$AO$52),"",ReferenceData!$AO$52),"")</f>
        <v>936</v>
      </c>
      <c r="AP52">
        <f ca="1">IFERROR(IF(0=LEN(ReferenceData!$AP$52),"",ReferenceData!$AP$52),"")</f>
        <v>1011</v>
      </c>
      <c r="AQ52">
        <f ca="1">IFERROR(IF(0=LEN(ReferenceData!$AQ$52),"",ReferenceData!$AQ$52),"")</f>
        <v>1258</v>
      </c>
      <c r="AR52">
        <f ca="1">IFERROR(IF(0=LEN(ReferenceData!$AR$52),"",ReferenceData!$AR$52),"")</f>
        <v>1455</v>
      </c>
      <c r="AS52">
        <f ca="1">IFERROR(IF(0=LEN(ReferenceData!$AS$52),"",ReferenceData!$AS$52),"")</f>
        <v>980</v>
      </c>
      <c r="AT52">
        <f ca="1">IFERROR(IF(0=LEN(ReferenceData!$AT$52),"",ReferenceData!$AT$52),"")</f>
        <v>922</v>
      </c>
      <c r="AU52">
        <f ca="1">IFERROR(IF(0=LEN(ReferenceData!$AU$52),"",ReferenceData!$AU$52),"")</f>
        <v>997</v>
      </c>
      <c r="AV52">
        <f ca="1">IFERROR(IF(0=LEN(ReferenceData!$AV$52),"",ReferenceData!$AV$52),"")</f>
        <v>982</v>
      </c>
      <c r="AW52">
        <f ca="1">IFERROR(IF(0=LEN(ReferenceData!$AW$52),"",ReferenceData!$AW$52),"")</f>
        <v>657</v>
      </c>
      <c r="AX52">
        <f ca="1">IFERROR(IF(0=LEN(ReferenceData!$AX$52),"",ReferenceData!$AX$52),"")</f>
        <v>841</v>
      </c>
      <c r="AY52">
        <f ca="1">IFERROR(IF(0=LEN(ReferenceData!$AY$52),"",ReferenceData!$AY$52),"")</f>
        <v>1176</v>
      </c>
      <c r="AZ52">
        <f ca="1">IFERROR(IF(0=LEN(ReferenceData!$AZ$52),"",ReferenceData!$AZ$52),"")</f>
        <v>1282</v>
      </c>
      <c r="BA52">
        <f ca="1">IFERROR(IF(0=LEN(ReferenceData!$BA$52),"",ReferenceData!$BA$52),"")</f>
        <v>1119</v>
      </c>
      <c r="BB52">
        <f ca="1">IFERROR(IF(0=LEN(ReferenceData!$BB$52),"",ReferenceData!$BB$52),"")</f>
        <v>1161</v>
      </c>
      <c r="BC52">
        <f ca="1">IFERROR(IF(0=LEN(ReferenceData!$BC$52),"",ReferenceData!$BC$52),"")</f>
        <v>1224</v>
      </c>
      <c r="BD52">
        <f ca="1">IFERROR(IF(0=LEN(ReferenceData!$BD$52),"",ReferenceData!$BD$52),"")</f>
        <v>2448</v>
      </c>
      <c r="BE52">
        <f ca="1">IFERROR(IF(0=LEN(ReferenceData!$BE$52),"",ReferenceData!$BE$52),"")</f>
        <v>1157</v>
      </c>
      <c r="BF52">
        <f ca="1">IFERROR(IF(0=LEN(ReferenceData!$BF$52),"",ReferenceData!$BF$52),"")</f>
        <v>1123</v>
      </c>
      <c r="BG52">
        <f ca="1">IFERROR(IF(0=LEN(ReferenceData!$BG$52),"",ReferenceData!$BG$52),"")</f>
        <v>953</v>
      </c>
      <c r="BH52">
        <f ca="1">IFERROR(IF(0=LEN(ReferenceData!$BH$52),"",ReferenceData!$BH$52),"")</f>
        <v>916</v>
      </c>
      <c r="BI52">
        <f ca="1">IFERROR(IF(0=LEN(ReferenceData!$BI$52),"",ReferenceData!$BI$52),"")</f>
        <v>929</v>
      </c>
      <c r="BJ52" t="str">
        <f ca="1">IFERROR(IF(0=LEN(ReferenceData!$BJ$52),"",ReferenceData!$BJ$52),"")</f>
        <v/>
      </c>
      <c r="BK52">
        <f ca="1">IFERROR(IF(0=LEN(ReferenceData!$BK$52),"",ReferenceData!$BK$52),"")</f>
        <v>1619</v>
      </c>
      <c r="BL52">
        <f ca="1">IFERROR(IF(0=LEN(ReferenceData!$BL$52),"",ReferenceData!$BL$52),"")</f>
        <v>1161</v>
      </c>
      <c r="BM52" t="str">
        <f ca="1">IFERROR(IF(0=LEN(ReferenceData!$BM$52),"",ReferenceData!$BM$52),"")</f>
        <v/>
      </c>
    </row>
    <row r="53" spans="1:65">
      <c r="A53" t="str">
        <f>IFERROR(IF(0=LEN(ReferenceData!$A$53),"",ReferenceData!$A$53),"")</f>
        <v xml:space="preserve">    JPMorgan Chase &amp; Co</v>
      </c>
      <c r="B53" t="str">
        <f>IFERROR(IF(0=LEN(ReferenceData!$B$53),"",ReferenceData!$B$53),"")</f>
        <v>JPM US Equity</v>
      </c>
      <c r="C53" t="str">
        <f>IFERROR(IF(0=LEN(ReferenceData!$C$53),"",ReferenceData!$C$53),"")</f>
        <v>IS688</v>
      </c>
      <c r="D53" t="str">
        <f>IFERROR(IF(0=LEN(ReferenceData!$D$53),"",ReferenceData!$D$53),"")</f>
        <v>IS_RESIDENTIAL_MTG_ORIGINATIONS</v>
      </c>
      <c r="E53" t="str">
        <f>IFERROR(IF(0=LEN(ReferenceData!$E$53),"",ReferenceData!$E$53),"")</f>
        <v>Dynamic</v>
      </c>
      <c r="F53">
        <f ca="1">IFERROR(IF(0=LEN(ReferenceData!$F$53),"",ReferenceData!$F$53),"")</f>
        <v>12100</v>
      </c>
      <c r="G53">
        <f ca="1">IFERROR(IF(0=LEN(ReferenceData!$G$53),"",ReferenceData!$G$53),"")</f>
        <v>11400</v>
      </c>
      <c r="H53">
        <f ca="1">IFERROR(IF(0=LEN(ReferenceData!$H$53),"",ReferenceData!$H$53),"")</f>
        <v>10700</v>
      </c>
      <c r="I53">
        <f ca="1">IFERROR(IF(0=LEN(ReferenceData!$I$53),"",ReferenceData!$I$53),"")</f>
        <v>6600</v>
      </c>
      <c r="J53">
        <f ca="1">IFERROR(IF(0=LEN(ReferenceData!$J$53),"",ReferenceData!$J$53),"")</f>
        <v>7200</v>
      </c>
      <c r="K53">
        <f ca="1">IFERROR(IF(0=LEN(ReferenceData!$K$53),"",ReferenceData!$K$53),"")</f>
        <v>11000</v>
      </c>
      <c r="L53">
        <f ca="1">IFERROR(IF(0=LEN(ReferenceData!$L$53),"",ReferenceData!$L$53),"")</f>
        <v>11200</v>
      </c>
      <c r="M53">
        <f ca="1">IFERROR(IF(0=LEN(ReferenceData!$M$53),"",ReferenceData!$M$53),"")</f>
        <v>5700</v>
      </c>
      <c r="N53">
        <f ca="1">IFERROR(IF(0=LEN(ReferenceData!$N$53),"",ReferenceData!$N$53),"")</f>
        <v>6700</v>
      </c>
      <c r="O53">
        <f ca="1">IFERROR(IF(0=LEN(ReferenceData!$O$53),"",ReferenceData!$O$53),"")</f>
        <v>12100</v>
      </c>
      <c r="P53">
        <f ca="1">IFERROR(IF(0=LEN(ReferenceData!$P$53),"",ReferenceData!$P$53),"")</f>
        <v>21900</v>
      </c>
      <c r="Q53">
        <f ca="1">IFERROR(IF(0=LEN(ReferenceData!$Q$53),"",ReferenceData!$Q$53),"")</f>
        <v>24700</v>
      </c>
      <c r="R53">
        <f ca="1">IFERROR(IF(0=LEN(ReferenceData!$R$53),"",ReferenceData!$R$53),"")</f>
        <v>42200</v>
      </c>
      <c r="S53">
        <f ca="1">IFERROR(IF(0=LEN(ReferenceData!$S$53),"",ReferenceData!$S$53),"")</f>
        <v>41600</v>
      </c>
      <c r="T53">
        <f ca="1">IFERROR(IF(0=LEN(ReferenceData!$T$53),"",ReferenceData!$T$53),"")</f>
        <v>39600</v>
      </c>
      <c r="U53">
        <f ca="1">IFERROR(IF(0=LEN(ReferenceData!$U$53),"",ReferenceData!$U$53),"")</f>
        <v>39300</v>
      </c>
      <c r="V53">
        <f ca="1">IFERROR(IF(0=LEN(ReferenceData!$V$53),"",ReferenceData!$V$53),"")</f>
        <v>32500</v>
      </c>
      <c r="W53">
        <f ca="1">IFERROR(IF(0=LEN(ReferenceData!$W$53),"",ReferenceData!$W$53),"")</f>
        <v>29000</v>
      </c>
      <c r="X53">
        <f ca="1">IFERROR(IF(0=LEN(ReferenceData!$X$53),"",ReferenceData!$X$53),"")</f>
        <v>24200</v>
      </c>
      <c r="Y53">
        <f ca="1">IFERROR(IF(0=LEN(ReferenceData!$Y$53),"",ReferenceData!$Y$53),"")</f>
        <v>28100</v>
      </c>
      <c r="Z53">
        <f ca="1">IFERROR(IF(0=LEN(ReferenceData!$Z$53),"",ReferenceData!$Z$53),"")</f>
        <v>33300</v>
      </c>
      <c r="AA53">
        <f ca="1">IFERROR(IF(0=LEN(ReferenceData!$AA$53),"",ReferenceData!$AA$53),"")</f>
        <v>32400</v>
      </c>
      <c r="AB53">
        <f ca="1">IFERROR(IF(0=LEN(ReferenceData!$AB$53),"",ReferenceData!$AB$53),"")</f>
        <v>24500</v>
      </c>
      <c r="AC53">
        <f ca="1">IFERROR(IF(0=LEN(ReferenceData!$AC$53),"",ReferenceData!$AC$53),"")</f>
        <v>15000</v>
      </c>
      <c r="AD53">
        <f ca="1">IFERROR(IF(0=LEN(ReferenceData!$AD$53),"",ReferenceData!$AD$53),"")</f>
        <v>17200</v>
      </c>
      <c r="AE53">
        <f ca="1">IFERROR(IF(0=LEN(ReferenceData!$AE$53),"",ReferenceData!$AE$53),"")</f>
        <v>22500</v>
      </c>
      <c r="AF53">
        <f ca="1">IFERROR(IF(0=LEN(ReferenceData!$AF$53),"",ReferenceData!$AF$53),"")</f>
        <v>21500</v>
      </c>
      <c r="AG53">
        <f ca="1">IFERROR(IF(0=LEN(ReferenceData!$AG$53),"",ReferenceData!$AG$53),"")</f>
        <v>18200</v>
      </c>
      <c r="AH53">
        <f ca="1">IFERROR(IF(0=LEN(ReferenceData!$AH$53),"",ReferenceData!$AH$53),"")</f>
        <v>24400</v>
      </c>
      <c r="AI53">
        <f ca="1">IFERROR(IF(0=LEN(ReferenceData!$AI$53),"",ReferenceData!$AI$53),"")</f>
        <v>26900</v>
      </c>
      <c r="AJ53">
        <f ca="1">IFERROR(IF(0=LEN(ReferenceData!$AJ$53),"",ReferenceData!$AJ$53),"")</f>
        <v>23900</v>
      </c>
      <c r="AK53">
        <f ca="1">IFERROR(IF(0=LEN(ReferenceData!$AK$53),"",ReferenceData!$AK$53),"")</f>
        <v>22400</v>
      </c>
      <c r="AL53">
        <f ca="1">IFERROR(IF(0=LEN(ReferenceData!$AL$53),"",ReferenceData!$AL$53),"")</f>
        <v>29100</v>
      </c>
      <c r="AM53">
        <f ca="1">IFERROR(IF(0=LEN(ReferenceData!$AM$53),"",ReferenceData!$AM$53),"")</f>
        <v>27100</v>
      </c>
      <c r="AN53">
        <f ca="1">IFERROR(IF(0=LEN(ReferenceData!$AN$53),"",ReferenceData!$AN$53),"")</f>
        <v>25000</v>
      </c>
      <c r="AO53">
        <f ca="1">IFERROR(IF(0=LEN(ReferenceData!$AO$53),"",ReferenceData!$AO$53),"")</f>
        <v>22400</v>
      </c>
      <c r="AP53">
        <f ca="1">IFERROR(IF(0=LEN(ReferenceData!$AP$53),"",ReferenceData!$AP$53),"")</f>
        <v>22500</v>
      </c>
      <c r="AQ53">
        <f ca="1">IFERROR(IF(0=LEN(ReferenceData!$AQ$53),"",ReferenceData!$AQ$53),"")</f>
        <v>29900</v>
      </c>
      <c r="AR53">
        <f ca="1">IFERROR(IF(0=LEN(ReferenceData!$AR$53),"",ReferenceData!$AR$53),"")</f>
        <v>29300</v>
      </c>
      <c r="AS53">
        <f ca="1">IFERROR(IF(0=LEN(ReferenceData!$AS$53),"",ReferenceData!$AS$53),"")</f>
        <v>24700</v>
      </c>
      <c r="AT53">
        <f ca="1">IFERROR(IF(0=LEN(ReferenceData!$AT$53),"",ReferenceData!$AT$53),"")</f>
        <v>23000</v>
      </c>
      <c r="AU53">
        <f ca="1">IFERROR(IF(0=LEN(ReferenceData!$AU$53),"",ReferenceData!$AU$53),"")</f>
        <v>21200</v>
      </c>
      <c r="AV53">
        <f ca="1">IFERROR(IF(0=LEN(ReferenceData!$AV$53),"",ReferenceData!$AV$53),"")</f>
        <v>16800</v>
      </c>
      <c r="AW53">
        <f ca="1">IFERROR(IF(0=LEN(ReferenceData!$AW$53),"",ReferenceData!$AW$53),"")</f>
        <v>17000</v>
      </c>
      <c r="AX53">
        <f ca="1">IFERROR(IF(0=LEN(ReferenceData!$AX$53),"",ReferenceData!$AX$53),"")</f>
        <v>23300</v>
      </c>
      <c r="AY53">
        <f ca="1">IFERROR(IF(0=LEN(ReferenceData!$AY$53),"",ReferenceData!$AY$53),"")</f>
        <v>40500</v>
      </c>
      <c r="AZ53">
        <f ca="1">IFERROR(IF(0=LEN(ReferenceData!$AZ$53),"",ReferenceData!$AZ$53),"")</f>
        <v>49000</v>
      </c>
      <c r="BA53">
        <f ca="1">IFERROR(IF(0=LEN(ReferenceData!$BA$53),"",ReferenceData!$BA$53),"")</f>
        <v>52700</v>
      </c>
      <c r="BB53">
        <f ca="1">IFERROR(IF(0=LEN(ReferenceData!$BB$53),"",ReferenceData!$BB$53),"")</f>
        <v>51200</v>
      </c>
      <c r="BC53">
        <f ca="1">IFERROR(IF(0=LEN(ReferenceData!$BC$53),"",ReferenceData!$BC$53),"")</f>
        <v>47300</v>
      </c>
      <c r="BD53">
        <f ca="1">IFERROR(IF(0=LEN(ReferenceData!$BD$53),"",ReferenceData!$BD$53),"")</f>
        <v>43900</v>
      </c>
      <c r="BE53">
        <f ca="1">IFERROR(IF(0=LEN(ReferenceData!$BE$53),"",ReferenceData!$BE$53),"")</f>
        <v>38400</v>
      </c>
      <c r="BF53">
        <f ca="1">IFERROR(IF(0=LEN(ReferenceData!$BF$53),"",ReferenceData!$BF$53),"")</f>
        <v>38600</v>
      </c>
      <c r="BG53">
        <f ca="1">IFERROR(IF(0=LEN(ReferenceData!$BG$53),"",ReferenceData!$BG$53),"")</f>
        <v>36800</v>
      </c>
      <c r="BH53">
        <f ca="1">IFERROR(IF(0=LEN(ReferenceData!$BH$53),"",ReferenceData!$BH$53),"")</f>
        <v>34000</v>
      </c>
      <c r="BI53">
        <f ca="1">IFERROR(IF(0=LEN(ReferenceData!$BI$53),"",ReferenceData!$BI$53),"")</f>
        <v>36200</v>
      </c>
      <c r="BJ53">
        <f ca="1">IFERROR(IF(0=LEN(ReferenceData!$BJ$53),"",ReferenceData!$BJ$53),"")</f>
        <v>50800</v>
      </c>
      <c r="BK53">
        <f ca="1">IFERROR(IF(0=LEN(ReferenceData!$BK$53),"",ReferenceData!$BK$53),"")</f>
        <v>40900</v>
      </c>
      <c r="BL53">
        <f ca="1">IFERROR(IF(0=LEN(ReferenceData!$BL$53),"",ReferenceData!$BL$53),"")</f>
        <v>32200</v>
      </c>
      <c r="BM53" t="str">
        <f ca="1">IFERROR(IF(0=LEN(ReferenceData!$BM$53),"",ReferenceData!$BM$53),"")</f>
        <v/>
      </c>
    </row>
    <row r="54" spans="1:65">
      <c r="A54" t="str">
        <f>IFERROR(IF(0=LEN(ReferenceData!$A$54),"",ReferenceData!$A$54),"")</f>
        <v xml:space="preserve">    PNC Financial Services Group I</v>
      </c>
      <c r="B54" t="str">
        <f>IFERROR(IF(0=LEN(ReferenceData!$B$54),"",ReferenceData!$B$54),"")</f>
        <v>PNC US Equity</v>
      </c>
      <c r="C54" t="str">
        <f>IFERROR(IF(0=LEN(ReferenceData!$C$54),"",ReferenceData!$C$54),"")</f>
        <v>IS688</v>
      </c>
      <c r="D54" t="str">
        <f>IFERROR(IF(0=LEN(ReferenceData!$D$54),"",ReferenceData!$D$54),"")</f>
        <v>IS_RESIDENTIAL_MTG_ORIGINATIONS</v>
      </c>
      <c r="E54" t="str">
        <f>IFERROR(IF(0=LEN(ReferenceData!$E$54),"",ReferenceData!$E$54),"")</f>
        <v>Dynamic</v>
      </c>
      <c r="F54" t="str">
        <f ca="1">IFERROR(IF(0=LEN(ReferenceData!$F$54),"",ReferenceData!$F$54),"")</f>
        <v/>
      </c>
      <c r="G54">
        <f ca="1">IFERROR(IF(0=LEN(ReferenceData!$G$54),"",ReferenceData!$G$54),"")</f>
        <v>3100</v>
      </c>
      <c r="H54">
        <f ca="1">IFERROR(IF(0=LEN(ReferenceData!$H$54),"",ReferenceData!$H$54),"")</f>
        <v>1700</v>
      </c>
      <c r="I54">
        <f ca="1">IFERROR(IF(0=LEN(ReferenceData!$I$54),"",ReferenceData!$I$54),"")</f>
        <v>1300</v>
      </c>
      <c r="J54">
        <f ca="1">IFERROR(IF(0=LEN(ReferenceData!$J$54),"",ReferenceData!$J$54),"")</f>
        <v>1500</v>
      </c>
      <c r="K54">
        <f ca="1">IFERROR(IF(0=LEN(ReferenceData!$K$54),"",ReferenceData!$K$54),"")</f>
        <v>2100</v>
      </c>
      <c r="L54">
        <f ca="1">IFERROR(IF(0=LEN(ReferenceData!$L$54),"",ReferenceData!$L$54),"")</f>
        <v>2400</v>
      </c>
      <c r="M54">
        <f ca="1">IFERROR(IF(0=LEN(ReferenceData!$M$54),"",ReferenceData!$M$54),"")</f>
        <v>1400</v>
      </c>
      <c r="N54">
        <f ca="1">IFERROR(IF(0=LEN(ReferenceData!$N$54),"",ReferenceData!$N$54),"")</f>
        <v>2100</v>
      </c>
      <c r="O54">
        <f ca="1">IFERROR(IF(0=LEN(ReferenceData!$O$54),"",ReferenceData!$O$54),"")</f>
        <v>3100</v>
      </c>
      <c r="P54">
        <f ca="1">IFERROR(IF(0=LEN(ReferenceData!$P$54),"",ReferenceData!$P$54),"")</f>
        <v>4800</v>
      </c>
      <c r="Q54">
        <f ca="1">IFERROR(IF(0=LEN(ReferenceData!$Q$54),"",ReferenceData!$Q$54),"")</f>
        <v>5100</v>
      </c>
      <c r="R54">
        <f ca="1">IFERROR(IF(0=LEN(ReferenceData!$R$54),"",ReferenceData!$R$54),"")</f>
        <v>6600</v>
      </c>
      <c r="S54">
        <f ca="1">IFERROR(IF(0=LEN(ReferenceData!$S$54),"",ReferenceData!$S$54),"")</f>
        <v>7400</v>
      </c>
      <c r="T54">
        <f ca="1">IFERROR(IF(0=LEN(ReferenceData!$T$54),"",ReferenceData!$T$54),"")</f>
        <v>6500</v>
      </c>
      <c r="U54">
        <f ca="1">IFERROR(IF(0=LEN(ReferenceData!$U$54),"",ReferenceData!$U$54),"")</f>
        <v>4300</v>
      </c>
      <c r="V54">
        <f ca="1">IFERROR(IF(0=LEN(ReferenceData!$V$54),"",ReferenceData!$V$54),"")</f>
        <v>3700</v>
      </c>
      <c r="W54">
        <f ca="1">IFERROR(IF(0=LEN(ReferenceData!$W$54),"",ReferenceData!$W$54),"")</f>
        <v>4000</v>
      </c>
      <c r="X54">
        <f ca="1">IFERROR(IF(0=LEN(ReferenceData!$X$54),"",ReferenceData!$X$54),"")</f>
        <v>4200</v>
      </c>
      <c r="Y54">
        <f ca="1">IFERROR(IF(0=LEN(ReferenceData!$Y$54),"",ReferenceData!$Y$54),"")</f>
        <v>3200</v>
      </c>
      <c r="Z54">
        <f ca="1">IFERROR(IF(0=LEN(ReferenceData!$Z$54),"",ReferenceData!$Z$54),"")</f>
        <v>3500</v>
      </c>
      <c r="AA54">
        <f ca="1">IFERROR(IF(0=LEN(ReferenceData!$AA$54),"",ReferenceData!$AA$54),"")</f>
        <v>3400</v>
      </c>
      <c r="AB54">
        <f ca="1">IFERROR(IF(0=LEN(ReferenceData!$AB$54),"",ReferenceData!$AB$54),"")</f>
        <v>2900</v>
      </c>
      <c r="AC54">
        <f ca="1">IFERROR(IF(0=LEN(ReferenceData!$AC$54),"",ReferenceData!$AC$54),"")</f>
        <v>1700</v>
      </c>
      <c r="AD54">
        <f ca="1">IFERROR(IF(0=LEN(ReferenceData!$AD$54),"",ReferenceData!$AD$54),"")</f>
        <v>1600</v>
      </c>
      <c r="AE54">
        <f ca="1">IFERROR(IF(0=LEN(ReferenceData!$AE$54),"",ReferenceData!$AE$54),"")</f>
        <v>2100</v>
      </c>
      <c r="AF54">
        <f ca="1">IFERROR(IF(0=LEN(ReferenceData!$AF$54),"",ReferenceData!$AF$54),"")</f>
        <v>2000</v>
      </c>
      <c r="AG54">
        <f ca="1">IFERROR(IF(0=LEN(ReferenceData!$AG$54),"",ReferenceData!$AG$54),"")</f>
        <v>1700</v>
      </c>
      <c r="AH54">
        <f ca="1">IFERROR(IF(0=LEN(ReferenceData!$AH$54),"",ReferenceData!$AH$54),"")</f>
        <v>2400</v>
      </c>
      <c r="AI54">
        <f ca="1">IFERROR(IF(0=LEN(ReferenceData!$AI$54),"",ReferenceData!$AI$54),"")</f>
        <v>2500</v>
      </c>
      <c r="AJ54">
        <f ca="1">IFERROR(IF(0=LEN(ReferenceData!$AJ$54),"",ReferenceData!$AJ$54),"")</f>
        <v>2200</v>
      </c>
      <c r="AK54">
        <f ca="1">IFERROR(IF(0=LEN(ReferenceData!$AK$54),"",ReferenceData!$AK$54),"")</f>
        <v>1900</v>
      </c>
      <c r="AL54" t="str">
        <f ca="1">IFERROR(IF(0=LEN(ReferenceData!$AL$54),"",ReferenceData!$AL$54),"")</f>
        <v/>
      </c>
      <c r="AM54">
        <f ca="1">IFERROR(IF(0=LEN(ReferenceData!$AM$54),"",ReferenceData!$AM$54),"")</f>
        <v>3100</v>
      </c>
      <c r="AN54">
        <f ca="1">IFERROR(IF(0=LEN(ReferenceData!$AN$54),"",ReferenceData!$AN$54),"")</f>
        <v>2600</v>
      </c>
      <c r="AO54">
        <f ca="1">IFERROR(IF(0=LEN(ReferenceData!$AO$54),"",ReferenceData!$AO$54),"")</f>
        <v>1900</v>
      </c>
      <c r="AP54">
        <f ca="1">IFERROR(IF(0=LEN(ReferenceData!$AP$54),"",ReferenceData!$AP$54),"")</f>
        <v>2300</v>
      </c>
      <c r="AQ54">
        <f ca="1">IFERROR(IF(0=LEN(ReferenceData!$AQ$54),"",ReferenceData!$AQ$54),"")</f>
        <v>2700</v>
      </c>
      <c r="AR54">
        <f ca="1">IFERROR(IF(0=LEN(ReferenceData!$AR$54),"",ReferenceData!$AR$54),"")</f>
        <v>2900</v>
      </c>
      <c r="AS54">
        <f ca="1">IFERROR(IF(0=LEN(ReferenceData!$AS$54),"",ReferenceData!$AS$54),"")</f>
        <v>2600</v>
      </c>
      <c r="AT54">
        <f ca="1">IFERROR(IF(0=LEN(ReferenceData!$AT$54),"",ReferenceData!$AT$54),"")</f>
        <v>2400</v>
      </c>
      <c r="AU54">
        <f ca="1">IFERROR(IF(0=LEN(ReferenceData!$AU$54),"",ReferenceData!$AU$54),"")</f>
        <v>2600</v>
      </c>
      <c r="AV54">
        <f ca="1">IFERROR(IF(0=LEN(ReferenceData!$AV$54),"",ReferenceData!$AV$54),"")</f>
        <v>2600</v>
      </c>
      <c r="AW54">
        <f ca="1">IFERROR(IF(0=LEN(ReferenceData!$AW$54),"",ReferenceData!$AW$54),"")</f>
        <v>1900</v>
      </c>
      <c r="AX54">
        <f ca="1">IFERROR(IF(0=LEN(ReferenceData!$AX$54),"",ReferenceData!$AX$54),"")</f>
        <v>2500</v>
      </c>
      <c r="AY54">
        <f ca="1">IFERROR(IF(0=LEN(ReferenceData!$AY$54),"",ReferenceData!$AY$54),"")</f>
        <v>3700</v>
      </c>
      <c r="AZ54">
        <f ca="1">IFERROR(IF(0=LEN(ReferenceData!$AZ$54),"",ReferenceData!$AZ$54),"")</f>
        <v>4700</v>
      </c>
      <c r="BA54">
        <f ca="1">IFERROR(IF(0=LEN(ReferenceData!$BA$54),"",ReferenceData!$BA$54),"")</f>
        <v>4200</v>
      </c>
      <c r="BB54">
        <f ca="1">IFERROR(IF(0=LEN(ReferenceData!$BB$54),"",ReferenceData!$BB$54),"")</f>
        <v>4400</v>
      </c>
      <c r="BC54">
        <f ca="1">IFERROR(IF(0=LEN(ReferenceData!$BC$54),"",ReferenceData!$BC$54),"")</f>
        <v>3800</v>
      </c>
      <c r="BD54">
        <f ca="1">IFERROR(IF(0=LEN(ReferenceData!$BD$54),"",ReferenceData!$BD$54),"")</f>
        <v>3600</v>
      </c>
      <c r="BE54">
        <f ca="1">IFERROR(IF(0=LEN(ReferenceData!$BE$54),"",ReferenceData!$BE$54),"")</f>
        <v>3400</v>
      </c>
      <c r="BF54">
        <f ca="1">IFERROR(IF(0=LEN(ReferenceData!$BF$54),"",ReferenceData!$BF$54),"")</f>
        <v>3000</v>
      </c>
      <c r="BG54">
        <f ca="1">IFERROR(IF(0=LEN(ReferenceData!$BG$54),"",ReferenceData!$BG$54),"")</f>
        <v>2600</v>
      </c>
      <c r="BH54">
        <f ca="1">IFERROR(IF(0=LEN(ReferenceData!$BH$54),"",ReferenceData!$BH$54),"")</f>
        <v>2600</v>
      </c>
      <c r="BI54">
        <f ca="1">IFERROR(IF(0=LEN(ReferenceData!$BI$54),"",ReferenceData!$BI$54),"")</f>
        <v>3200</v>
      </c>
      <c r="BJ54">
        <f ca="1">IFERROR(IF(0=LEN(ReferenceData!$BJ$54),"",ReferenceData!$BJ$54),"")</f>
        <v>3500</v>
      </c>
      <c r="BK54">
        <f ca="1">IFERROR(IF(0=LEN(ReferenceData!$BK$54),"",ReferenceData!$BK$54),"")</f>
        <v>2700</v>
      </c>
      <c r="BL54">
        <f ca="1">IFERROR(IF(0=LEN(ReferenceData!$BL$54),"",ReferenceData!$BL$54),"")</f>
        <v>2300</v>
      </c>
      <c r="BM54">
        <f ca="1">IFERROR(IF(0=LEN(ReferenceData!$BM$54),"",ReferenceData!$BM$54),"")</f>
        <v>2000</v>
      </c>
    </row>
    <row r="55" spans="1:65">
      <c r="A55" t="str">
        <f>IFERROR(IF(0=LEN(ReferenceData!$A$55),"",ReferenceData!$A$55),"")</f>
        <v xml:space="preserve">    Regions Financial Corp</v>
      </c>
      <c r="B55" t="str">
        <f>IFERROR(IF(0=LEN(ReferenceData!$B$55),"",ReferenceData!$B$55),"")</f>
        <v>RF US Equity</v>
      </c>
      <c r="C55" t="str">
        <f>IFERROR(IF(0=LEN(ReferenceData!$C$55),"",ReferenceData!$C$55),"")</f>
        <v>IS688</v>
      </c>
      <c r="D55" t="str">
        <f>IFERROR(IF(0=LEN(ReferenceData!$D$55),"",ReferenceData!$D$55),"")</f>
        <v>IS_RESIDENTIAL_MTG_ORIGINATIONS</v>
      </c>
      <c r="E55" t="str">
        <f>IFERROR(IF(0=LEN(ReferenceData!$E$55),"",ReferenceData!$E$55),"")</f>
        <v>Dynamic</v>
      </c>
      <c r="F55" t="str">
        <f ca="1">IFERROR(IF(0=LEN(ReferenceData!$F$55),"",ReferenceData!$F$55),"")</f>
        <v/>
      </c>
      <c r="G55">
        <f ca="1">IFERROR(IF(0=LEN(ReferenceData!$G$55),"",ReferenceData!$G$55),"")</f>
        <v>1016</v>
      </c>
      <c r="H55">
        <f ca="1">IFERROR(IF(0=LEN(ReferenceData!$H$55),"",ReferenceData!$H$55),"")</f>
        <v>1042</v>
      </c>
      <c r="I55">
        <f ca="1">IFERROR(IF(0=LEN(ReferenceData!$I$55),"",ReferenceData!$I$55),"")</f>
        <v>753</v>
      </c>
      <c r="J55">
        <f ca="1">IFERROR(IF(0=LEN(ReferenceData!$J$55),"",ReferenceData!$J$55),"")</f>
        <v>824</v>
      </c>
      <c r="K55">
        <f ca="1">IFERROR(IF(0=LEN(ReferenceData!$K$55),"",ReferenceData!$K$55),"")</f>
        <v>1170</v>
      </c>
      <c r="L55">
        <f ca="1">IFERROR(IF(0=LEN(ReferenceData!$L$55),"",ReferenceData!$L$55),"")</f>
        <v>450</v>
      </c>
      <c r="M55">
        <f ca="1">IFERROR(IF(0=LEN(ReferenceData!$M$55),"",ReferenceData!$M$55),"")</f>
        <v>882</v>
      </c>
      <c r="N55">
        <f ca="1">IFERROR(IF(0=LEN(ReferenceData!$N$55),"",ReferenceData!$N$55),"")</f>
        <v>1026</v>
      </c>
      <c r="O55">
        <f ca="1">IFERROR(IF(0=LEN(ReferenceData!$O$55),"",ReferenceData!$O$55),"")</f>
        <v>1523</v>
      </c>
      <c r="P55">
        <f ca="1">IFERROR(IF(0=LEN(ReferenceData!$P$55),"",ReferenceData!$P$55),"")</f>
        <v>1957</v>
      </c>
      <c r="Q55">
        <f ca="1">IFERROR(IF(0=LEN(ReferenceData!$Q$55),"",ReferenceData!$Q$55),"")</f>
        <v>1840</v>
      </c>
      <c r="R55">
        <f ca="1">IFERROR(IF(0=LEN(ReferenceData!$R$55),"",ReferenceData!$R$55),"")</f>
        <v>2406</v>
      </c>
      <c r="S55">
        <f ca="1">IFERROR(IF(0=LEN(ReferenceData!$S$55),"",ReferenceData!$S$55),"")</f>
        <v>2824</v>
      </c>
      <c r="T55">
        <f ca="1">IFERROR(IF(0=LEN(ReferenceData!$T$55),"",ReferenceData!$T$55),"")</f>
        <v>3001</v>
      </c>
      <c r="U55">
        <f ca="1">IFERROR(IF(0=LEN(ReferenceData!$U$55),"",ReferenceData!$U$55),"")</f>
        <v>2776</v>
      </c>
      <c r="V55">
        <f ca="1">IFERROR(IF(0=LEN(ReferenceData!$V$55),"",ReferenceData!$V$55),"")</f>
        <v>1470</v>
      </c>
      <c r="W55">
        <f ca="1">IFERROR(IF(0=LEN(ReferenceData!$W$55),"",ReferenceData!$W$55),"")</f>
        <v>3488</v>
      </c>
      <c r="X55">
        <f ca="1">IFERROR(IF(0=LEN(ReferenceData!$X$55),"",ReferenceData!$X$55),"")</f>
        <v>2483</v>
      </c>
      <c r="Y55">
        <f ca="1">IFERROR(IF(0=LEN(ReferenceData!$Y$55),"",ReferenceData!$Y$55),"")</f>
        <v>1470</v>
      </c>
      <c r="Z55">
        <f ca="1">IFERROR(IF(0=LEN(ReferenceData!$Z$55),"",ReferenceData!$Z$55),"")</f>
        <v>1653</v>
      </c>
      <c r="AA55">
        <f ca="1">IFERROR(IF(0=LEN(ReferenceData!$AA$55),"",ReferenceData!$AA$55),"")</f>
        <v>1717</v>
      </c>
      <c r="AB55">
        <f ca="1">IFERROR(IF(0=LEN(ReferenceData!$AB$55),"",ReferenceData!$AB$55),"")</f>
        <v>1461</v>
      </c>
      <c r="AC55">
        <f ca="1">IFERROR(IF(0=LEN(ReferenceData!$AC$55),"",ReferenceData!$AC$55),"")</f>
        <v>921</v>
      </c>
      <c r="AD55">
        <f ca="1">IFERROR(IF(0=LEN(ReferenceData!$AD$55),"",ReferenceData!$AD$55),"")</f>
        <v>1029</v>
      </c>
      <c r="AE55">
        <f ca="1">IFERROR(IF(0=LEN(ReferenceData!$AE$55),"",ReferenceData!$AE$55),"")</f>
        <v>1249</v>
      </c>
      <c r="AF55">
        <f ca="1">IFERROR(IF(0=LEN(ReferenceData!$AF$55),"",ReferenceData!$AF$55),"")</f>
        <v>1428</v>
      </c>
      <c r="AG55">
        <f ca="1">IFERROR(IF(0=LEN(ReferenceData!$AG$55),"",ReferenceData!$AG$55),"")</f>
        <v>1096</v>
      </c>
      <c r="AH55">
        <f ca="1">IFERROR(IF(0=LEN(ReferenceData!$AH$55),"",ReferenceData!$AH$55),"")</f>
        <v>1266</v>
      </c>
      <c r="AI55">
        <f ca="1">IFERROR(IF(0=LEN(ReferenceData!$AI$55),"",ReferenceData!$AI$55),"")</f>
        <v>1311</v>
      </c>
      <c r="AJ55">
        <f ca="1">IFERROR(IF(0=LEN(ReferenceData!$AJ$55),"",ReferenceData!$AJ$55),"")</f>
        <v>1447</v>
      </c>
      <c r="AK55">
        <f ca="1">IFERROR(IF(0=LEN(ReferenceData!$AK$55),"",ReferenceData!$AK$55),"")</f>
        <v>1154</v>
      </c>
      <c r="AL55">
        <f ca="1">IFERROR(IF(0=LEN(ReferenceData!$AL$55),"",ReferenceData!$AL$55),"")</f>
        <v>1538</v>
      </c>
      <c r="AM55">
        <f ca="1">IFERROR(IF(0=LEN(ReferenceData!$AM$55),"",ReferenceData!$AM$55),"")</f>
        <v>1662</v>
      </c>
      <c r="AN55">
        <f ca="1">IFERROR(IF(0=LEN(ReferenceData!$AN$55),"",ReferenceData!$AN$55),"")</f>
        <v>1656</v>
      </c>
      <c r="AO55">
        <f ca="1">IFERROR(IF(0=LEN(ReferenceData!$AO$55),"",ReferenceData!$AO$55),"")</f>
        <v>1111</v>
      </c>
      <c r="AP55">
        <f ca="1">IFERROR(IF(0=LEN(ReferenceData!$AP$55),"",ReferenceData!$AP$55),"")</f>
        <v>1190</v>
      </c>
      <c r="AQ55">
        <f ca="1">IFERROR(IF(0=LEN(ReferenceData!$AQ$55),"",ReferenceData!$AQ$55),"")</f>
        <v>1421</v>
      </c>
      <c r="AR55">
        <f ca="1">IFERROR(IF(0=LEN(ReferenceData!$AR$55),"",ReferenceData!$AR$55),"")</f>
        <v>1602</v>
      </c>
      <c r="AS55">
        <f ca="1">IFERROR(IF(0=LEN(ReferenceData!$AS$55),"",ReferenceData!$AS$55),"")</f>
        <v>1270</v>
      </c>
      <c r="AT55">
        <f ca="1">IFERROR(IF(0=LEN(ReferenceData!$AT$55),"",ReferenceData!$AT$55),"")</f>
        <v>1168</v>
      </c>
      <c r="AU55">
        <f ca="1">IFERROR(IF(0=LEN(ReferenceData!$AU$55),"",ReferenceData!$AU$55),"")</f>
        <v>1285</v>
      </c>
      <c r="AV55">
        <f ca="1">IFERROR(IF(0=LEN(ReferenceData!$AV$55),"",ReferenceData!$AV$55),"")</f>
        <v>1270</v>
      </c>
      <c r="AW55">
        <f ca="1">IFERROR(IF(0=LEN(ReferenceData!$AW$55),"",ReferenceData!$AW$55),"")</f>
        <v>966</v>
      </c>
      <c r="AX55">
        <f ca="1">IFERROR(IF(0=LEN(ReferenceData!$AX$55),"",ReferenceData!$AX$55),"")</f>
        <v>1238</v>
      </c>
      <c r="AY55">
        <f ca="1">IFERROR(IF(0=LEN(ReferenceData!$AY$55),"",ReferenceData!$AY$55),"")</f>
        <v>1606</v>
      </c>
      <c r="AZ55">
        <f ca="1">IFERROR(IF(0=LEN(ReferenceData!$AZ$55),"",ReferenceData!$AZ$55),"")</f>
        <v>1921</v>
      </c>
      <c r="BA55">
        <f ca="1">IFERROR(IF(0=LEN(ReferenceData!$BA$55),"",ReferenceData!$BA$55),"")</f>
        <v>1819</v>
      </c>
      <c r="BB55">
        <f ca="1">IFERROR(IF(0=LEN(ReferenceData!$BB$55),"",ReferenceData!$BB$55),"")</f>
        <v>2100</v>
      </c>
      <c r="BC55">
        <f ca="1">IFERROR(IF(0=LEN(ReferenceData!$BC$55),"",ReferenceData!$BC$55),"")</f>
        <v>2200</v>
      </c>
      <c r="BD55">
        <f ca="1">IFERROR(IF(0=LEN(ReferenceData!$BD$55),"",ReferenceData!$BD$55),"")</f>
        <v>2100</v>
      </c>
      <c r="BE55">
        <f ca="1">IFERROR(IF(0=LEN(ReferenceData!$BE$55),"",ReferenceData!$BE$55),"")</f>
        <v>1600</v>
      </c>
      <c r="BF55">
        <f ca="1">IFERROR(IF(0=LEN(ReferenceData!$BF$55),"",ReferenceData!$BF$55),"")</f>
        <v>1800</v>
      </c>
      <c r="BG55">
        <f ca="1">IFERROR(IF(0=LEN(ReferenceData!$BG$55),"",ReferenceData!$BG$55),"")</f>
        <v>1500</v>
      </c>
      <c r="BH55">
        <f ca="1">IFERROR(IF(0=LEN(ReferenceData!$BH$55),"",ReferenceData!$BH$55),"")</f>
        <v>1400</v>
      </c>
      <c r="BI55">
        <f ca="1">IFERROR(IF(0=LEN(ReferenceData!$BI$55),"",ReferenceData!$BI$55),"")</f>
        <v>1600</v>
      </c>
      <c r="BJ55">
        <f ca="1">IFERROR(IF(0=LEN(ReferenceData!$BJ$55),"",ReferenceData!$BJ$55),"")</f>
        <v>2600</v>
      </c>
      <c r="BK55">
        <f ca="1">IFERROR(IF(0=LEN(ReferenceData!$BK$55),"",ReferenceData!$BK$55),"")</f>
        <v>2400</v>
      </c>
      <c r="BL55">
        <f ca="1">IFERROR(IF(0=LEN(ReferenceData!$BL$55),"",ReferenceData!$BL$55),"")</f>
        <v>1800</v>
      </c>
      <c r="BM55">
        <f ca="1">IFERROR(IF(0=LEN(ReferenceData!$BM$55),"",ReferenceData!$BM$55),"")</f>
        <v>1400</v>
      </c>
    </row>
    <row r="56" spans="1:65">
      <c r="A56" t="str">
        <f>IFERROR(IF(0=LEN(ReferenceData!$A$56),"",ReferenceData!$A$56),"")</f>
        <v xml:space="preserve">    SunTrust Banks Inc</v>
      </c>
      <c r="B56" t="str">
        <f>IFERROR(IF(0=LEN(ReferenceData!$B$56),"",ReferenceData!$B$56),"")</f>
        <v>STI US Equity</v>
      </c>
      <c r="C56" t="str">
        <f>IFERROR(IF(0=LEN(ReferenceData!$C$56),"",ReferenceData!$C$56),"")</f>
        <v>IS688</v>
      </c>
      <c r="D56" t="str">
        <f>IFERROR(IF(0=LEN(ReferenceData!$D$56),"",ReferenceData!$D$56),"")</f>
        <v>IS_RESIDENTIAL_MTG_ORIGINATIONS</v>
      </c>
      <c r="E56" t="str">
        <f>IFERROR(IF(0=LEN(ReferenceData!$E$56),"",ReferenceData!$E$56),"")</f>
        <v>Dynamic</v>
      </c>
      <c r="F56" t="str">
        <f ca="1">IFERROR(IF(0=LEN(ReferenceData!$F$56),"",ReferenceData!$F$56),"")</f>
        <v/>
      </c>
      <c r="G56" t="str">
        <f ca="1">IFERROR(IF(0=LEN(ReferenceData!$G$56),"",ReferenceData!$G$56),"")</f>
        <v/>
      </c>
      <c r="H56" t="str">
        <f ca="1">IFERROR(IF(0=LEN(ReferenceData!$H$56),"",ReferenceData!$H$56),"")</f>
        <v/>
      </c>
      <c r="I56" t="str">
        <f ca="1">IFERROR(IF(0=LEN(ReferenceData!$I$56),"",ReferenceData!$I$56),"")</f>
        <v/>
      </c>
      <c r="J56" t="str">
        <f ca="1">IFERROR(IF(0=LEN(ReferenceData!$J$56),"",ReferenceData!$J$56),"")</f>
        <v/>
      </c>
      <c r="K56" t="str">
        <f ca="1">IFERROR(IF(0=LEN(ReferenceData!$K$56),"",ReferenceData!$K$56),"")</f>
        <v/>
      </c>
      <c r="L56" t="str">
        <f ca="1">IFERROR(IF(0=LEN(ReferenceData!$L$56),"",ReferenceData!$L$56),"")</f>
        <v/>
      </c>
      <c r="M56" t="str">
        <f ca="1">IFERROR(IF(0=LEN(ReferenceData!$M$56),"",ReferenceData!$M$56),"")</f>
        <v/>
      </c>
      <c r="N56" t="str">
        <f ca="1">IFERROR(IF(0=LEN(ReferenceData!$N$56),"",ReferenceData!$N$56),"")</f>
        <v/>
      </c>
      <c r="O56" t="str">
        <f ca="1">IFERROR(IF(0=LEN(ReferenceData!$O$56),"",ReferenceData!$O$56),"")</f>
        <v/>
      </c>
      <c r="P56" t="str">
        <f ca="1">IFERROR(IF(0=LEN(ReferenceData!$P$56),"",ReferenceData!$P$56),"")</f>
        <v/>
      </c>
      <c r="Q56" t="str">
        <f ca="1">IFERROR(IF(0=LEN(ReferenceData!$Q$56),"",ReferenceData!$Q$56),"")</f>
        <v/>
      </c>
      <c r="R56" t="str">
        <f ca="1">IFERROR(IF(0=LEN(ReferenceData!$R$56),"",ReferenceData!$R$56),"")</f>
        <v/>
      </c>
      <c r="S56" t="str">
        <f ca="1">IFERROR(IF(0=LEN(ReferenceData!$S$56),"",ReferenceData!$S$56),"")</f>
        <v/>
      </c>
      <c r="T56" t="str">
        <f ca="1">IFERROR(IF(0=LEN(ReferenceData!$T$56),"",ReferenceData!$T$56),"")</f>
        <v/>
      </c>
      <c r="U56" t="str">
        <f ca="1">IFERROR(IF(0=LEN(ReferenceData!$U$56),"",ReferenceData!$U$56),"")</f>
        <v/>
      </c>
      <c r="V56" t="str">
        <f ca="1">IFERROR(IF(0=LEN(ReferenceData!$V$56),"",ReferenceData!$V$56),"")</f>
        <v/>
      </c>
      <c r="W56" t="str">
        <f ca="1">IFERROR(IF(0=LEN(ReferenceData!$W$56),"",ReferenceData!$W$56),"")</f>
        <v/>
      </c>
      <c r="X56" t="str">
        <f ca="1">IFERROR(IF(0=LEN(ReferenceData!$X$56),"",ReferenceData!$X$56),"")</f>
        <v/>
      </c>
      <c r="Y56" t="str">
        <f ca="1">IFERROR(IF(0=LEN(ReferenceData!$Y$56),"",ReferenceData!$Y$56),"")</f>
        <v/>
      </c>
      <c r="Z56" t="str">
        <f ca="1">IFERROR(IF(0=LEN(ReferenceData!$Z$56),"",ReferenceData!$Z$56),"")</f>
        <v/>
      </c>
      <c r="AA56" t="str">
        <f ca="1">IFERROR(IF(0=LEN(ReferenceData!$AA$56),"",ReferenceData!$AA$56),"")</f>
        <v/>
      </c>
      <c r="AB56" t="str">
        <f ca="1">IFERROR(IF(0=LEN(ReferenceData!$AB$56),"",ReferenceData!$AB$56),"")</f>
        <v/>
      </c>
      <c r="AC56" t="str">
        <f ca="1">IFERROR(IF(0=LEN(ReferenceData!$AC$56),"",ReferenceData!$AC$56),"")</f>
        <v/>
      </c>
      <c r="AD56" t="str">
        <f ca="1">IFERROR(IF(0=LEN(ReferenceData!$AD$56),"",ReferenceData!$AD$56),"")</f>
        <v/>
      </c>
      <c r="AE56" t="str">
        <f ca="1">IFERROR(IF(0=LEN(ReferenceData!$AE$56),"",ReferenceData!$AE$56),"")</f>
        <v/>
      </c>
      <c r="AF56" t="str">
        <f ca="1">IFERROR(IF(0=LEN(ReferenceData!$AF$56),"",ReferenceData!$AF$56),"")</f>
        <v/>
      </c>
      <c r="AG56" t="str">
        <f ca="1">IFERROR(IF(0=LEN(ReferenceData!$AG$56),"",ReferenceData!$AG$56),"")</f>
        <v/>
      </c>
      <c r="AH56" t="str">
        <f ca="1">IFERROR(IF(0=LEN(ReferenceData!$AH$56),"",ReferenceData!$AH$56),"")</f>
        <v/>
      </c>
      <c r="AI56" t="str">
        <f ca="1">IFERROR(IF(0=LEN(ReferenceData!$AI$56),"",ReferenceData!$AI$56),"")</f>
        <v/>
      </c>
      <c r="AJ56" t="str">
        <f ca="1">IFERROR(IF(0=LEN(ReferenceData!$AJ$56),"",ReferenceData!$AJ$56),"")</f>
        <v/>
      </c>
      <c r="AK56" t="str">
        <f ca="1">IFERROR(IF(0=LEN(ReferenceData!$AK$56),"",ReferenceData!$AK$56),"")</f>
        <v/>
      </c>
      <c r="AL56" t="str">
        <f ca="1">IFERROR(IF(0=LEN(ReferenceData!$AL$56),"",ReferenceData!$AL$56),"")</f>
        <v/>
      </c>
      <c r="AM56" t="str">
        <f ca="1">IFERROR(IF(0=LEN(ReferenceData!$AM$56),"",ReferenceData!$AM$56),"")</f>
        <v/>
      </c>
      <c r="AN56" t="str">
        <f ca="1">IFERROR(IF(0=LEN(ReferenceData!$AN$56),"",ReferenceData!$AN$56),"")</f>
        <v/>
      </c>
      <c r="AO56" t="str">
        <f ca="1">IFERROR(IF(0=LEN(ReferenceData!$AO$56),"",ReferenceData!$AO$56),"")</f>
        <v/>
      </c>
      <c r="AP56" t="str">
        <f ca="1">IFERROR(IF(0=LEN(ReferenceData!$AP$56),"",ReferenceData!$AP$56),"")</f>
        <v/>
      </c>
      <c r="AQ56" t="str">
        <f ca="1">IFERROR(IF(0=LEN(ReferenceData!$AQ$56),"",ReferenceData!$AQ$56),"")</f>
        <v/>
      </c>
      <c r="AR56" t="str">
        <f ca="1">IFERROR(IF(0=LEN(ReferenceData!$AR$56),"",ReferenceData!$AR$56),"")</f>
        <v/>
      </c>
      <c r="AS56" t="str">
        <f ca="1">IFERROR(IF(0=LEN(ReferenceData!$AS$56),"",ReferenceData!$AS$56),"")</f>
        <v/>
      </c>
      <c r="AT56" t="str">
        <f ca="1">IFERROR(IF(0=LEN(ReferenceData!$AT$56),"",ReferenceData!$AT$56),"")</f>
        <v/>
      </c>
      <c r="AU56" t="str">
        <f ca="1">IFERROR(IF(0=LEN(ReferenceData!$AU$56),"",ReferenceData!$AU$56),"")</f>
        <v/>
      </c>
      <c r="AV56" t="str">
        <f ca="1">IFERROR(IF(0=LEN(ReferenceData!$AV$56),"",ReferenceData!$AV$56),"")</f>
        <v/>
      </c>
      <c r="AW56" t="str">
        <f ca="1">IFERROR(IF(0=LEN(ReferenceData!$AW$56),"",ReferenceData!$AW$56),"")</f>
        <v/>
      </c>
      <c r="AX56" t="str">
        <f ca="1">IFERROR(IF(0=LEN(ReferenceData!$AX$56),"",ReferenceData!$AX$56),"")</f>
        <v/>
      </c>
      <c r="AY56" t="str">
        <f ca="1">IFERROR(IF(0=LEN(ReferenceData!$AY$56),"",ReferenceData!$AY$56),"")</f>
        <v/>
      </c>
      <c r="AZ56" t="str">
        <f ca="1">IFERROR(IF(0=LEN(ReferenceData!$AZ$56),"",ReferenceData!$AZ$56),"")</f>
        <v/>
      </c>
      <c r="BA56" t="str">
        <f ca="1">IFERROR(IF(0=LEN(ReferenceData!$BA$56),"",ReferenceData!$BA$56),"")</f>
        <v/>
      </c>
      <c r="BB56" t="str">
        <f ca="1">IFERROR(IF(0=LEN(ReferenceData!$BB$56),"",ReferenceData!$BB$56),"")</f>
        <v/>
      </c>
      <c r="BC56" t="str">
        <f ca="1">IFERROR(IF(0=LEN(ReferenceData!$BC$56),"",ReferenceData!$BC$56),"")</f>
        <v/>
      </c>
      <c r="BD56" t="str">
        <f ca="1">IFERROR(IF(0=LEN(ReferenceData!$BD$56),"",ReferenceData!$BD$56),"")</f>
        <v/>
      </c>
      <c r="BE56" t="str">
        <f ca="1">IFERROR(IF(0=LEN(ReferenceData!$BE$56),"",ReferenceData!$BE$56),"")</f>
        <v/>
      </c>
      <c r="BF56" t="str">
        <f ca="1">IFERROR(IF(0=LEN(ReferenceData!$BF$56),"",ReferenceData!$BF$56),"")</f>
        <v/>
      </c>
      <c r="BG56" t="str">
        <f ca="1">IFERROR(IF(0=LEN(ReferenceData!$BG$56),"",ReferenceData!$BG$56),"")</f>
        <v/>
      </c>
      <c r="BH56" t="str">
        <f ca="1">IFERROR(IF(0=LEN(ReferenceData!$BH$56),"",ReferenceData!$BH$56),"")</f>
        <v/>
      </c>
      <c r="BI56" t="str">
        <f ca="1">IFERROR(IF(0=LEN(ReferenceData!$BI$56),"",ReferenceData!$BI$56),"")</f>
        <v/>
      </c>
      <c r="BJ56" t="str">
        <f ca="1">IFERROR(IF(0=LEN(ReferenceData!$BJ$56),"",ReferenceData!$BJ$56),"")</f>
        <v/>
      </c>
      <c r="BK56" t="str">
        <f ca="1">IFERROR(IF(0=LEN(ReferenceData!$BK$56),"",ReferenceData!$BK$56),"")</f>
        <v/>
      </c>
      <c r="BL56" t="str">
        <f ca="1">IFERROR(IF(0=LEN(ReferenceData!$BL$56),"",ReferenceData!$BL$56),"")</f>
        <v/>
      </c>
      <c r="BM56" t="str">
        <f ca="1">IFERROR(IF(0=LEN(ReferenceData!$BM$56),"",ReferenceData!$BM$56),"")</f>
        <v/>
      </c>
    </row>
    <row r="57" spans="1:65">
      <c r="A57" t="str">
        <f>IFERROR(IF(0=LEN(ReferenceData!$A$57),"",ReferenceData!$A$57),"")</f>
        <v xml:space="preserve">    US Bancorp/MN</v>
      </c>
      <c r="B57" t="str">
        <f>IFERROR(IF(0=LEN(ReferenceData!$B$57),"",ReferenceData!$B$57),"")</f>
        <v>USB US Equity</v>
      </c>
      <c r="C57" t="str">
        <f>IFERROR(IF(0=LEN(ReferenceData!$C$57),"",ReferenceData!$C$57),"")</f>
        <v>IS688</v>
      </c>
      <c r="D57" t="str">
        <f>IFERROR(IF(0=LEN(ReferenceData!$D$57),"",ReferenceData!$D$57),"")</f>
        <v>IS_RESIDENTIAL_MTG_ORIGINATIONS</v>
      </c>
      <c r="E57" t="str">
        <f>IFERROR(IF(0=LEN(ReferenceData!$E$57),"",ReferenceData!$E$57),"")</f>
        <v>Dynamic</v>
      </c>
      <c r="F57">
        <f ca="1">IFERROR(IF(0=LEN(ReferenceData!$F$57),"",ReferenceData!$F$57),"")</f>
        <v>10211</v>
      </c>
      <c r="G57">
        <f ca="1">IFERROR(IF(0=LEN(ReferenceData!$G$57),"",ReferenceData!$G$57),"")</f>
        <v>11076</v>
      </c>
      <c r="H57">
        <f ca="1">IFERROR(IF(0=LEN(ReferenceData!$H$57),"",ReferenceData!$H$57),"")</f>
        <v>14415</v>
      </c>
      <c r="I57">
        <f ca="1">IFERROR(IF(0=LEN(ReferenceData!$I$57),"",ReferenceData!$I$57),"")</f>
        <v>12531</v>
      </c>
      <c r="J57">
        <f ca="1">IFERROR(IF(0=LEN(ReferenceData!$J$57),"",ReferenceData!$J$57),"")</f>
        <v>7405</v>
      </c>
      <c r="K57">
        <f ca="1">IFERROR(IF(0=LEN(ReferenceData!$K$57),"",ReferenceData!$K$57),"")</f>
        <v>9493</v>
      </c>
      <c r="L57">
        <f ca="1">IFERROR(IF(0=LEN(ReferenceData!$L$57),"",ReferenceData!$L$57),"")</f>
        <v>15841</v>
      </c>
      <c r="M57">
        <f ca="1">IFERROR(IF(0=LEN(ReferenceData!$M$57),"",ReferenceData!$M$57),"")</f>
        <v>16077</v>
      </c>
      <c r="N57">
        <f ca="1">IFERROR(IF(0=LEN(ReferenceData!$N$57),"",ReferenceData!$N$57),"")</f>
        <v>11195</v>
      </c>
      <c r="O57">
        <f ca="1">IFERROR(IF(0=LEN(ReferenceData!$O$57),"",ReferenceData!$O$57),"")</f>
        <v>15606</v>
      </c>
      <c r="P57">
        <f ca="1">IFERROR(IF(0=LEN(ReferenceData!$P$57),"",ReferenceData!$P$57),"")</f>
        <v>13895</v>
      </c>
      <c r="Q57">
        <f ca="1">IFERROR(IF(0=LEN(ReferenceData!$Q$57),"",ReferenceData!$Q$57),"")</f>
        <v>16587</v>
      </c>
      <c r="R57">
        <f ca="1">IFERROR(IF(0=LEN(ReferenceData!$R$57),"",ReferenceData!$R$57),"")</f>
        <v>25231</v>
      </c>
      <c r="S57">
        <f ca="1">IFERROR(IF(0=LEN(ReferenceData!$S$57),"",ReferenceData!$S$57),"")</f>
        <v>28428</v>
      </c>
      <c r="T57">
        <f ca="1">IFERROR(IF(0=LEN(ReferenceData!$T$57),"",ReferenceData!$T$57),"")</f>
        <v>23714</v>
      </c>
      <c r="U57">
        <f ca="1">IFERROR(IF(0=LEN(ReferenceData!$U$57),"",ReferenceData!$U$57),"")</f>
        <v>24803</v>
      </c>
      <c r="V57">
        <f ca="1">IFERROR(IF(0=LEN(ReferenceData!$V$57),"",ReferenceData!$V$57),"")</f>
        <v>31361</v>
      </c>
      <c r="W57">
        <f ca="1">IFERROR(IF(0=LEN(ReferenceData!$W$57),"",ReferenceData!$W$57),"")</f>
        <v>25710</v>
      </c>
      <c r="X57">
        <f ca="1">IFERROR(IF(0=LEN(ReferenceData!$X$57),"",ReferenceData!$X$57),"")</f>
        <v>22374</v>
      </c>
      <c r="Y57">
        <f ca="1">IFERROR(IF(0=LEN(ReferenceData!$Y$57),"",ReferenceData!$Y$57),"")</f>
        <v>16098</v>
      </c>
      <c r="Z57">
        <f ca="1">IFERROR(IF(0=LEN(ReferenceData!$Z$57),"",ReferenceData!$Z$57),"")</f>
        <v>9123</v>
      </c>
      <c r="AA57">
        <f ca="1">IFERROR(IF(0=LEN(ReferenceData!$AA$57),"",ReferenceData!$AA$57),"")</f>
        <v>15831</v>
      </c>
      <c r="AB57">
        <f ca="1">IFERROR(IF(0=LEN(ReferenceData!$AB$57),"",ReferenceData!$AB$57),"")</f>
        <v>13503</v>
      </c>
      <c r="AC57">
        <f ca="1">IFERROR(IF(0=LEN(ReferenceData!$AC$57),"",ReferenceData!$AC$57),"")</f>
        <v>9430</v>
      </c>
      <c r="AD57">
        <f ca="1">IFERROR(IF(0=LEN(ReferenceData!$AD$57),"",ReferenceData!$AD$57),"")</f>
        <v>9123</v>
      </c>
      <c r="AE57">
        <f ca="1">IFERROR(IF(0=LEN(ReferenceData!$AE$57),"",ReferenceData!$AE$57),"")</f>
        <v>11272</v>
      </c>
      <c r="AF57">
        <f ca="1">IFERROR(IF(0=LEN(ReferenceData!$AF$57),"",ReferenceData!$AF$57),"")</f>
        <v>10983</v>
      </c>
      <c r="AG57">
        <f ca="1">IFERROR(IF(0=LEN(ReferenceData!$AG$57),"",ReferenceData!$AG$57),"")</f>
        <v>9982</v>
      </c>
      <c r="AH57">
        <f ca="1">IFERROR(IF(0=LEN(ReferenceData!$AH$57),"",ReferenceData!$AH$57),"")</f>
        <v>12526</v>
      </c>
      <c r="AI57">
        <f ca="1">IFERROR(IF(0=LEN(ReferenceData!$AI$57),"",ReferenceData!$AI$57),"")</f>
        <v>12061</v>
      </c>
      <c r="AJ57">
        <f ca="1">IFERROR(IF(0=LEN(ReferenceData!$AJ$57),"",ReferenceData!$AJ$57),"")</f>
        <v>10999</v>
      </c>
      <c r="AK57">
        <f ca="1">IFERROR(IF(0=LEN(ReferenceData!$AK$57),"",ReferenceData!$AK$57),"")</f>
        <v>9984</v>
      </c>
      <c r="AL57">
        <f ca="1">IFERROR(IF(0=LEN(ReferenceData!$AL$57),"",ReferenceData!$AL$57),"")</f>
        <v>13978</v>
      </c>
      <c r="AM57">
        <f ca="1">IFERROR(IF(0=LEN(ReferenceData!$AM$57),"",ReferenceData!$AM$57),"")</f>
        <v>14995</v>
      </c>
      <c r="AN57">
        <f ca="1">IFERROR(IF(0=LEN(ReferenceData!$AN$57),"",ReferenceData!$AN$57),"")</f>
        <v>13540</v>
      </c>
      <c r="AO57">
        <f ca="1">IFERROR(IF(0=LEN(ReferenceData!$AO$57),"",ReferenceData!$AO$57),"")</f>
        <v>10973</v>
      </c>
      <c r="AP57">
        <f ca="1">IFERROR(IF(0=LEN(ReferenceData!$AP$57),"",ReferenceData!$AP$57),"")</f>
        <v>11426</v>
      </c>
      <c r="AQ57">
        <f ca="1">IFERROR(IF(0=LEN(ReferenceData!$AQ$57),"",ReferenceData!$AQ$57),"")</f>
        <v>13979</v>
      </c>
      <c r="AR57">
        <f ca="1">IFERROR(IF(0=LEN(ReferenceData!$AR$57),"",ReferenceData!$AR$57),"")</f>
        <v>13388</v>
      </c>
      <c r="AS57">
        <f ca="1">IFERROR(IF(0=LEN(ReferenceData!$AS$57),"",ReferenceData!$AS$57),"")</f>
        <v>10900</v>
      </c>
      <c r="AT57">
        <f ca="1">IFERROR(IF(0=LEN(ReferenceData!$AT$57),"",ReferenceData!$AT$57),"")</f>
        <v>10448</v>
      </c>
      <c r="AU57">
        <f ca="1">IFERROR(IF(0=LEN(ReferenceData!$AU$57),"",ReferenceData!$AU$57),"")</f>
        <v>10410</v>
      </c>
      <c r="AV57">
        <f ca="1">IFERROR(IF(0=LEN(ReferenceData!$AV$57),"",ReferenceData!$AV$57),"")</f>
        <v>7950</v>
      </c>
      <c r="AW57">
        <f ca="1">IFERROR(IF(0=LEN(ReferenceData!$AW$57),"",ReferenceData!$AW$57),"")</f>
        <v>6245</v>
      </c>
      <c r="AX57">
        <f ca="1">IFERROR(IF(0=LEN(ReferenceData!$AX$57),"",ReferenceData!$AX$57),"")</f>
        <v>8563</v>
      </c>
      <c r="AY57">
        <f ca="1">IFERROR(IF(0=LEN(ReferenceData!$AY$57),"",ReferenceData!$AY$57),"")</f>
        <v>15192</v>
      </c>
      <c r="AZ57">
        <f ca="1">IFERROR(IF(0=LEN(ReferenceData!$AZ$57),"",ReferenceData!$AZ$57),"")</f>
        <v>17796</v>
      </c>
      <c r="BA57">
        <f ca="1">IFERROR(IF(0=LEN(ReferenceData!$BA$57),"",ReferenceData!$BA$57),"")</f>
        <v>21698</v>
      </c>
      <c r="BB57">
        <f ca="1">IFERROR(IF(0=LEN(ReferenceData!$BB$57),"",ReferenceData!$BB$57),"")</f>
        <v>22111</v>
      </c>
      <c r="BC57">
        <f ca="1">IFERROR(IF(0=LEN(ReferenceData!$BC$57),"",ReferenceData!$BC$57),"")</f>
        <v>21529</v>
      </c>
      <c r="BD57">
        <f ca="1">IFERROR(IF(0=LEN(ReferenceData!$BD$57),"",ReferenceData!$BD$57),"")</f>
        <v>21667</v>
      </c>
      <c r="BE57">
        <f ca="1">IFERROR(IF(0=LEN(ReferenceData!$BE$57),"",ReferenceData!$BE$57),"")</f>
        <v>19168</v>
      </c>
      <c r="BF57">
        <f ca="1">IFERROR(IF(0=LEN(ReferenceData!$BF$57),"",ReferenceData!$BF$57),"")</f>
        <v>17415</v>
      </c>
      <c r="BG57">
        <f ca="1">IFERROR(IF(0=LEN(ReferenceData!$BG$57),"",ReferenceData!$BG$57),"")</f>
        <v>11509</v>
      </c>
      <c r="BH57">
        <f ca="1">IFERROR(IF(0=LEN(ReferenceData!$BH$57),"",ReferenceData!$BH$57),"")</f>
        <v>8070</v>
      </c>
      <c r="BI57">
        <f ca="1">IFERROR(IF(0=LEN(ReferenceData!$BI$57),"",ReferenceData!$BI$57),"")</f>
        <v>12131</v>
      </c>
      <c r="BJ57">
        <f ca="1">IFERROR(IF(0=LEN(ReferenceData!$BJ$57),"",ReferenceData!$BJ$57),"")</f>
        <v>19610</v>
      </c>
      <c r="BK57">
        <f ca="1">IFERROR(IF(0=LEN(ReferenceData!$BK$57),"",ReferenceData!$BK$57),"")</f>
        <v>16579</v>
      </c>
      <c r="BL57">
        <f ca="1">IFERROR(IF(0=LEN(ReferenceData!$BL$57),"",ReferenceData!$BL$57),"")</f>
        <v>10585</v>
      </c>
      <c r="BM57" t="str">
        <f ca="1">IFERROR(IF(0=LEN(ReferenceData!$BM$57),"",ReferenceData!$BM$57),"")</f>
        <v/>
      </c>
    </row>
    <row r="58" spans="1:65">
      <c r="A58" t="str">
        <f>IFERROR(IF(0=LEN(ReferenceData!$A$58),"",ReferenceData!$A$58),"")</f>
        <v xml:space="preserve">    Wells Fargo &amp; Co</v>
      </c>
      <c r="B58" t="str">
        <f>IFERROR(IF(0=LEN(ReferenceData!$B$58),"",ReferenceData!$B$58),"")</f>
        <v>WFC US Equity</v>
      </c>
      <c r="C58" t="str">
        <f>IFERROR(IF(0=LEN(ReferenceData!$C$58),"",ReferenceData!$C$58),"")</f>
        <v>IS688</v>
      </c>
      <c r="D58" t="str">
        <f>IFERROR(IF(0=LEN(ReferenceData!$D$58),"",ReferenceData!$D$58),"")</f>
        <v>IS_RESIDENTIAL_MTG_ORIGINATIONS</v>
      </c>
      <c r="E58" t="str">
        <f>IFERROR(IF(0=LEN(ReferenceData!$E$58),"",ReferenceData!$E$58),"")</f>
        <v>Dynamic</v>
      </c>
      <c r="F58">
        <f ca="1">IFERROR(IF(0=LEN(ReferenceData!$F$58),"",ReferenceData!$F$58),"")</f>
        <v>5900</v>
      </c>
      <c r="G58">
        <f ca="1">IFERROR(IF(0=LEN(ReferenceData!$G$58),"",ReferenceData!$G$58),"")</f>
        <v>5500</v>
      </c>
      <c r="H58">
        <f ca="1">IFERROR(IF(0=LEN(ReferenceData!$H$58),"",ReferenceData!$H$58),"")</f>
        <v>5300</v>
      </c>
      <c r="I58" t="str">
        <f ca="1">IFERROR(IF(0=LEN(ReferenceData!$I$58),"",ReferenceData!$I$58),"")</f>
        <v/>
      </c>
      <c r="J58">
        <f ca="1">IFERROR(IF(0=LEN(ReferenceData!$J$58),"",ReferenceData!$J$58),"")</f>
        <v>4500</v>
      </c>
      <c r="K58">
        <f ca="1">IFERROR(IF(0=LEN(ReferenceData!$K$58),"",ReferenceData!$K$58),"")</f>
        <v>6400</v>
      </c>
      <c r="L58">
        <f ca="1">IFERROR(IF(0=LEN(ReferenceData!$L$58),"",ReferenceData!$L$58),"")</f>
        <v>7800</v>
      </c>
      <c r="M58">
        <f ca="1">IFERROR(IF(0=LEN(ReferenceData!$M$58),"",ReferenceData!$M$58),"")</f>
        <v>6600</v>
      </c>
      <c r="N58">
        <f ca="1">IFERROR(IF(0=LEN(ReferenceData!$N$58),"",ReferenceData!$N$58),"")</f>
        <v>14600</v>
      </c>
      <c r="O58">
        <f ca="1">IFERROR(IF(0=LEN(ReferenceData!$O$58),"",ReferenceData!$O$58),"")</f>
        <v>21500</v>
      </c>
      <c r="P58">
        <f ca="1">IFERROR(IF(0=LEN(ReferenceData!$P$58),"",ReferenceData!$P$58),"")</f>
        <v>34100</v>
      </c>
      <c r="Q58">
        <f ca="1">IFERROR(IF(0=LEN(ReferenceData!$Q$58),"",ReferenceData!$Q$58),"")</f>
        <v>37900</v>
      </c>
      <c r="R58">
        <f ca="1">IFERROR(IF(0=LEN(ReferenceData!$R$58),"",ReferenceData!$R$58),"")</f>
        <v>48100</v>
      </c>
      <c r="S58">
        <f ca="1">IFERROR(IF(0=LEN(ReferenceData!$S$58),"",ReferenceData!$S$58),"")</f>
        <v>51900</v>
      </c>
      <c r="T58">
        <f ca="1">IFERROR(IF(0=LEN(ReferenceData!$T$58),"",ReferenceData!$T$58),"")</f>
        <v>53200</v>
      </c>
      <c r="U58">
        <f ca="1">IFERROR(IF(0=LEN(ReferenceData!$U$58),"",ReferenceData!$U$58),"")</f>
        <v>51800</v>
      </c>
      <c r="V58">
        <f ca="1">IFERROR(IF(0=LEN(ReferenceData!$V$58),"",ReferenceData!$V$58),"")</f>
        <v>53900</v>
      </c>
      <c r="W58">
        <f ca="1">IFERROR(IF(0=LEN(ReferenceData!$W$58),"",ReferenceData!$W$58),"")</f>
        <v>62000</v>
      </c>
      <c r="X58">
        <f ca="1">IFERROR(IF(0=LEN(ReferenceData!$X$58),"",ReferenceData!$X$58),"")</f>
        <v>59000</v>
      </c>
      <c r="Y58">
        <f ca="1">IFERROR(IF(0=LEN(ReferenceData!$Y$58),"",ReferenceData!$Y$58),"")</f>
        <v>48000</v>
      </c>
      <c r="Z58">
        <f ca="1">IFERROR(IF(0=LEN(ReferenceData!$Z$58),"",ReferenceData!$Z$58),"")</f>
        <v>60000</v>
      </c>
      <c r="AA58">
        <f ca="1">IFERROR(IF(0=LEN(ReferenceData!$AA$58),"",ReferenceData!$AA$58),"")</f>
        <v>58000</v>
      </c>
      <c r="AB58">
        <f ca="1">IFERROR(IF(0=LEN(ReferenceData!$AB$58),"",ReferenceData!$AB$58),"")</f>
        <v>53000</v>
      </c>
      <c r="AC58">
        <f ca="1">IFERROR(IF(0=LEN(ReferenceData!$AC$58),"",ReferenceData!$AC$58),"")</f>
        <v>33000</v>
      </c>
      <c r="AD58">
        <f ca="1">IFERROR(IF(0=LEN(ReferenceData!$AD$58),"",ReferenceData!$AD$58),"")</f>
        <v>38000</v>
      </c>
      <c r="AE58">
        <f ca="1">IFERROR(IF(0=LEN(ReferenceData!$AE$58),"",ReferenceData!$AE$58),"")</f>
        <v>46000</v>
      </c>
      <c r="AF58">
        <f ca="1">IFERROR(IF(0=LEN(ReferenceData!$AF$58),"",ReferenceData!$AF$58),"")</f>
        <v>50000</v>
      </c>
      <c r="AG58">
        <f ca="1">IFERROR(IF(0=LEN(ReferenceData!$AG$58),"",ReferenceData!$AG$58),"")</f>
        <v>43000</v>
      </c>
      <c r="AH58">
        <f ca="1">IFERROR(IF(0=LEN(ReferenceData!$AH$58),"",ReferenceData!$AH$58),"")</f>
        <v>53000</v>
      </c>
      <c r="AI58">
        <f ca="1">IFERROR(IF(0=LEN(ReferenceData!$AI$58),"",ReferenceData!$AI$58),"")</f>
        <v>59000</v>
      </c>
      <c r="AJ58">
        <f ca="1">IFERROR(IF(0=LEN(ReferenceData!$AJ$58),"",ReferenceData!$AJ$58),"")</f>
        <v>56000</v>
      </c>
      <c r="AK58">
        <f ca="1">IFERROR(IF(0=LEN(ReferenceData!$AK$58),"",ReferenceData!$AK$58),"")</f>
        <v>44000</v>
      </c>
      <c r="AL58">
        <f ca="1">IFERROR(IF(0=LEN(ReferenceData!$AL$58),"",ReferenceData!$AL$58),"")</f>
        <v>72000</v>
      </c>
      <c r="AM58">
        <f ca="1">IFERROR(IF(0=LEN(ReferenceData!$AM$58),"",ReferenceData!$AM$58),"")</f>
        <v>70000</v>
      </c>
      <c r="AN58">
        <f ca="1">IFERROR(IF(0=LEN(ReferenceData!$AN$58),"",ReferenceData!$AN$58),"")</f>
        <v>63000</v>
      </c>
      <c r="AO58">
        <f ca="1">IFERROR(IF(0=LEN(ReferenceData!$AO$58),"",ReferenceData!$AO$58),"")</f>
        <v>44000</v>
      </c>
      <c r="AP58">
        <f ca="1">IFERROR(IF(0=LEN(ReferenceData!$AP$58),"",ReferenceData!$AP$58),"")</f>
        <v>47000</v>
      </c>
      <c r="AQ58">
        <f ca="1">IFERROR(IF(0=LEN(ReferenceData!$AQ$58),"",ReferenceData!$AQ$58),"")</f>
        <v>55000</v>
      </c>
      <c r="AR58">
        <f ca="1">IFERROR(IF(0=LEN(ReferenceData!$AR$58),"",ReferenceData!$AR$58),"")</f>
        <v>62000</v>
      </c>
      <c r="AS58">
        <f ca="1">IFERROR(IF(0=LEN(ReferenceData!$AS$58),"",ReferenceData!$AS$58),"")</f>
        <v>49000</v>
      </c>
      <c r="AT58">
        <f ca="1">IFERROR(IF(0=LEN(ReferenceData!$AT$58),"",ReferenceData!$AT$58),"")</f>
        <v>44000</v>
      </c>
      <c r="AU58">
        <f ca="1">IFERROR(IF(0=LEN(ReferenceData!$AU$58),"",ReferenceData!$AU$58),"")</f>
        <v>48000</v>
      </c>
      <c r="AV58">
        <f ca="1">IFERROR(IF(0=LEN(ReferenceData!$AV$58),"",ReferenceData!$AV$58),"")</f>
        <v>47000</v>
      </c>
      <c r="AW58">
        <f ca="1">IFERROR(IF(0=LEN(ReferenceData!$AW$58),"",ReferenceData!$AW$58),"")</f>
        <v>36000</v>
      </c>
      <c r="AX58">
        <f ca="1">IFERROR(IF(0=LEN(ReferenceData!$AX$58),"",ReferenceData!$AX$58),"")</f>
        <v>50000</v>
      </c>
      <c r="AY58">
        <f ca="1">IFERROR(IF(0=LEN(ReferenceData!$AY$58),"",ReferenceData!$AY$58),"")</f>
        <v>80000</v>
      </c>
      <c r="AZ58">
        <f ca="1">IFERROR(IF(0=LEN(ReferenceData!$AZ$58),"",ReferenceData!$AZ$58),"")</f>
        <v>112000</v>
      </c>
      <c r="BA58">
        <f ca="1">IFERROR(IF(0=LEN(ReferenceData!$BA$58),"",ReferenceData!$BA$58),"")</f>
        <v>109000</v>
      </c>
      <c r="BB58">
        <f ca="1">IFERROR(IF(0=LEN(ReferenceData!$BB$58),"",ReferenceData!$BB$58),"")</f>
        <v>125000</v>
      </c>
      <c r="BC58">
        <f ca="1">IFERROR(IF(0=LEN(ReferenceData!$BC$58),"",ReferenceData!$BC$58),"")</f>
        <v>139000</v>
      </c>
      <c r="BD58">
        <f ca="1">IFERROR(IF(0=LEN(ReferenceData!$BD$58),"",ReferenceData!$BD$58),"")</f>
        <v>131000</v>
      </c>
      <c r="BE58">
        <f ca="1">IFERROR(IF(0=LEN(ReferenceData!$BE$58),"",ReferenceData!$BE$58),"")</f>
        <v>129000</v>
      </c>
      <c r="BF58">
        <f ca="1">IFERROR(IF(0=LEN(ReferenceData!$BF$58),"",ReferenceData!$BF$58),"")</f>
        <v>120000</v>
      </c>
      <c r="BG58">
        <f ca="1">IFERROR(IF(0=LEN(ReferenceData!$BG$58),"",ReferenceData!$BG$58),"")</f>
        <v>89000</v>
      </c>
      <c r="BH58">
        <f ca="1">IFERROR(IF(0=LEN(ReferenceData!$BH$58),"",ReferenceData!$BH$58),"")</f>
        <v>64000</v>
      </c>
      <c r="BI58">
        <f ca="1">IFERROR(IF(0=LEN(ReferenceData!$BI$58),"",ReferenceData!$BI$58),"")</f>
        <v>84000</v>
      </c>
      <c r="BJ58">
        <f ca="1">IFERROR(IF(0=LEN(ReferenceData!$BJ$58),"",ReferenceData!$BJ$58),"")</f>
        <v>128000</v>
      </c>
      <c r="BK58">
        <f ca="1">IFERROR(IF(0=LEN(ReferenceData!$BK$58),"",ReferenceData!$BK$58),"")</f>
        <v>101000</v>
      </c>
      <c r="BL58">
        <f ca="1">IFERROR(IF(0=LEN(ReferenceData!$BL$58),"",ReferenceData!$BL$58),"")</f>
        <v>81000</v>
      </c>
      <c r="BM58" t="str">
        <f ca="1">IFERROR(IF(0=LEN(ReferenceData!$BM$58),"",ReferenceData!$BM$58),"")</f>
        <v/>
      </c>
    </row>
    <row r="59" spans="1:65">
      <c r="A59" t="str">
        <f>IFERROR(IF(0=LEN(ReferenceData!$A$59),"",ReferenceData!$A$59),"")</f>
        <v>Residential Mortgage Servicing Portfolio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Heading</v>
      </c>
      <c r="F59" t="str">
        <f>IFERROR(IF(0=LEN(ReferenceData!$F$59),"",ReferenceData!$F$59),"")</f>
        <v/>
      </c>
      <c r="G59" t="str">
        <f>IFERROR(IF(0=LEN(ReferenceData!$G$59),"",ReferenceData!$G$59),"")</f>
        <v/>
      </c>
      <c r="H59" t="str">
        <f>IFERROR(IF(0=LEN(ReferenceData!$H$59),"",ReferenceData!$H$59),"")</f>
        <v/>
      </c>
      <c r="I59" t="str">
        <f>IFERROR(IF(0=LEN(ReferenceData!$I$59),"",ReferenceData!$I$59),"")</f>
        <v/>
      </c>
      <c r="J59" t="str">
        <f>IFERROR(IF(0=LEN(ReferenceData!$J$59),"",ReferenceData!$J$59),"")</f>
        <v/>
      </c>
      <c r="K59" t="str">
        <f>IFERROR(IF(0=LEN(ReferenceData!$K$59),"",ReferenceData!$K$59),"")</f>
        <v/>
      </c>
      <c r="L59" t="str">
        <f>IFERROR(IF(0=LEN(ReferenceData!$L$59),"",ReferenceData!$L$59),"")</f>
        <v/>
      </c>
      <c r="M59" t="str">
        <f>IFERROR(IF(0=LEN(ReferenceData!$M$59),"",ReferenceData!$M$59),"")</f>
        <v/>
      </c>
      <c r="N59" t="str">
        <f>IFERROR(IF(0=LEN(ReferenceData!$N$59),"",ReferenceData!$N$59),"")</f>
        <v/>
      </c>
      <c r="O59" t="str">
        <f>IFERROR(IF(0=LEN(ReferenceData!$O$59),"",ReferenceData!$O$59),"")</f>
        <v/>
      </c>
      <c r="P59" t="str">
        <f>IFERROR(IF(0=LEN(ReferenceData!$P$59),"",ReferenceData!$P$59),"")</f>
        <v/>
      </c>
      <c r="Q59" t="str">
        <f>IFERROR(IF(0=LEN(ReferenceData!$Q$59),"",ReferenceData!$Q$59),"")</f>
        <v/>
      </c>
      <c r="R59" t="str">
        <f>IFERROR(IF(0=LEN(ReferenceData!$R$59),"",ReferenceData!$R$59),"")</f>
        <v/>
      </c>
      <c r="S59" t="str">
        <f>IFERROR(IF(0=LEN(ReferenceData!$S$59),"",ReferenceData!$S$59),"")</f>
        <v/>
      </c>
      <c r="T59" t="str">
        <f>IFERROR(IF(0=LEN(ReferenceData!$T$59),"",ReferenceData!$T$59),"")</f>
        <v/>
      </c>
      <c r="U59" t="str">
        <f>IFERROR(IF(0=LEN(ReferenceData!$U$59),"",ReferenceData!$U$59),"")</f>
        <v/>
      </c>
      <c r="V59" t="str">
        <f>IFERROR(IF(0=LEN(ReferenceData!$V$59),"",ReferenceData!$V$59),"")</f>
        <v/>
      </c>
      <c r="W59" t="str">
        <f>IFERROR(IF(0=LEN(ReferenceData!$W$59),"",ReferenceData!$W$59),"")</f>
        <v/>
      </c>
      <c r="X59" t="str">
        <f>IFERROR(IF(0=LEN(ReferenceData!$X$59),"",ReferenceData!$X$59),"")</f>
        <v/>
      </c>
      <c r="Y59" t="str">
        <f>IFERROR(IF(0=LEN(ReferenceData!$Y$59),"",ReferenceData!$Y$59),"")</f>
        <v/>
      </c>
      <c r="Z59" t="str">
        <f>IFERROR(IF(0=LEN(ReferenceData!$Z$59),"",ReferenceData!$Z$59),"")</f>
        <v/>
      </c>
      <c r="AA59" t="str">
        <f>IFERROR(IF(0=LEN(ReferenceData!$AA$59),"",ReferenceData!$AA$59),"")</f>
        <v/>
      </c>
      <c r="AB59" t="str">
        <f>IFERROR(IF(0=LEN(ReferenceData!$AB$59),"",ReferenceData!$AB$59),"")</f>
        <v/>
      </c>
      <c r="AC59" t="str">
        <f>IFERROR(IF(0=LEN(ReferenceData!$AC$59),"",ReferenceData!$AC$59),"")</f>
        <v/>
      </c>
      <c r="AD59" t="str">
        <f>IFERROR(IF(0=LEN(ReferenceData!$AD$59),"",ReferenceData!$AD$59),"")</f>
        <v/>
      </c>
      <c r="AE59" t="str">
        <f>IFERROR(IF(0=LEN(ReferenceData!$AE$59),"",ReferenceData!$AE$59),"")</f>
        <v/>
      </c>
      <c r="AF59" t="str">
        <f>IFERROR(IF(0=LEN(ReferenceData!$AF$59),"",ReferenceData!$AF$59),"")</f>
        <v/>
      </c>
      <c r="AG59" t="str">
        <f>IFERROR(IF(0=LEN(ReferenceData!$AG$59),"",ReferenceData!$AG$59),"")</f>
        <v/>
      </c>
      <c r="AH59" t="str">
        <f>IFERROR(IF(0=LEN(ReferenceData!$AH$59),"",ReferenceData!$AH$59),"")</f>
        <v/>
      </c>
      <c r="AI59" t="str">
        <f>IFERROR(IF(0=LEN(ReferenceData!$AI$59),"",ReferenceData!$AI$59),"")</f>
        <v/>
      </c>
      <c r="AJ59" t="str">
        <f>IFERROR(IF(0=LEN(ReferenceData!$AJ$59),"",ReferenceData!$AJ$59),"")</f>
        <v/>
      </c>
      <c r="AK59" t="str">
        <f>IFERROR(IF(0=LEN(ReferenceData!$AK$59),"",ReferenceData!$AK$59),"")</f>
        <v/>
      </c>
      <c r="AL59" t="str">
        <f>IFERROR(IF(0=LEN(ReferenceData!$AL$59),"",ReferenceData!$AL$59),"")</f>
        <v/>
      </c>
      <c r="AM59" t="str">
        <f>IFERROR(IF(0=LEN(ReferenceData!$AM$59),"",ReferenceData!$AM$59),"")</f>
        <v/>
      </c>
      <c r="AN59" t="str">
        <f>IFERROR(IF(0=LEN(ReferenceData!$AN$59),"",ReferenceData!$AN$59),"")</f>
        <v/>
      </c>
      <c r="AO59" t="str">
        <f>IFERROR(IF(0=LEN(ReferenceData!$AO$59),"",ReferenceData!$AO$59),"")</f>
        <v/>
      </c>
      <c r="AP59" t="str">
        <f>IFERROR(IF(0=LEN(ReferenceData!$AP$59),"",ReferenceData!$AP$59),"")</f>
        <v/>
      </c>
      <c r="AQ59" t="str">
        <f>IFERROR(IF(0=LEN(ReferenceData!$AQ$59),"",ReferenceData!$AQ$59),"")</f>
        <v/>
      </c>
      <c r="AR59" t="str">
        <f>IFERROR(IF(0=LEN(ReferenceData!$AR$59),"",ReferenceData!$AR$59),"")</f>
        <v/>
      </c>
      <c r="AS59" t="str">
        <f>IFERROR(IF(0=LEN(ReferenceData!$AS$59),"",ReferenceData!$AS$59),"")</f>
        <v/>
      </c>
      <c r="AT59" t="str">
        <f>IFERROR(IF(0=LEN(ReferenceData!$AT$59),"",ReferenceData!$AT$59),"")</f>
        <v/>
      </c>
      <c r="AU59" t="str">
        <f>IFERROR(IF(0=LEN(ReferenceData!$AU$59),"",ReferenceData!$AU$59),"")</f>
        <v/>
      </c>
      <c r="AV59" t="str">
        <f>IFERROR(IF(0=LEN(ReferenceData!$AV$59),"",ReferenceData!$AV$59),"")</f>
        <v/>
      </c>
      <c r="AW59" t="str">
        <f>IFERROR(IF(0=LEN(ReferenceData!$AW$59),"",ReferenceData!$AW$59),"")</f>
        <v/>
      </c>
      <c r="AX59" t="str">
        <f>IFERROR(IF(0=LEN(ReferenceData!$AX$59),"",ReferenceData!$AX$59),"")</f>
        <v/>
      </c>
      <c r="AY59" t="str">
        <f>IFERROR(IF(0=LEN(ReferenceData!$AY$59),"",ReferenceData!$AY$59),"")</f>
        <v/>
      </c>
      <c r="AZ59" t="str">
        <f>IFERROR(IF(0=LEN(ReferenceData!$AZ$59),"",ReferenceData!$AZ$59),"")</f>
        <v/>
      </c>
      <c r="BA59" t="str">
        <f>IFERROR(IF(0=LEN(ReferenceData!$BA$59),"",ReferenceData!$BA$59),"")</f>
        <v/>
      </c>
      <c r="BB59" t="str">
        <f>IFERROR(IF(0=LEN(ReferenceData!$BB$59),"",ReferenceData!$BB$59),"")</f>
        <v/>
      </c>
      <c r="BC59" t="str">
        <f>IFERROR(IF(0=LEN(ReferenceData!$BC$59),"",ReferenceData!$BC$59),"")</f>
        <v/>
      </c>
      <c r="BD59" t="str">
        <f>IFERROR(IF(0=LEN(ReferenceData!$BD$59),"",ReferenceData!$BD$59),"")</f>
        <v/>
      </c>
      <c r="BE59" t="str">
        <f>IFERROR(IF(0=LEN(ReferenceData!$BE$59),"",ReferenceData!$BE$59),"")</f>
        <v/>
      </c>
      <c r="BF59" t="str">
        <f>IFERROR(IF(0=LEN(ReferenceData!$BF$59),"",ReferenceData!$BF$59),"")</f>
        <v/>
      </c>
      <c r="BG59" t="str">
        <f>IFERROR(IF(0=LEN(ReferenceData!$BG$59),"",ReferenceData!$BG$59),"")</f>
        <v/>
      </c>
      <c r="BH59" t="str">
        <f>IFERROR(IF(0=LEN(ReferenceData!$BH$59),"",ReferenceData!$BH$59),"")</f>
        <v/>
      </c>
      <c r="BI59" t="str">
        <f>IFERROR(IF(0=LEN(ReferenceData!$BI$59),"",ReferenceData!$BI$59),"")</f>
        <v/>
      </c>
      <c r="BJ59" t="str">
        <f>IFERROR(IF(0=LEN(ReferenceData!$BJ$59),"",ReferenceData!$BJ$59),"")</f>
        <v/>
      </c>
      <c r="BK59" t="str">
        <f>IFERROR(IF(0=LEN(ReferenceData!$BK$59),"",ReferenceData!$BK$59),"")</f>
        <v/>
      </c>
      <c r="BL59" t="str">
        <f>IFERROR(IF(0=LEN(ReferenceData!$BL$59),"",ReferenceData!$BL$59),"")</f>
        <v/>
      </c>
      <c r="BM59" t="str">
        <f>IFERROR(IF(0=LEN(ReferenceData!$BM$59),"",ReferenceData!$BM$59),"")</f>
        <v/>
      </c>
    </row>
    <row r="60" spans="1:65">
      <c r="A60" s="2" t="str">
        <f>IFERROR(IF(0=LEN(ReferenceData!$A$60),"",ReferenceData!$A$60),"")</f>
        <v>Residential Mortgage Servicing Portfolio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Sum</v>
      </c>
      <c r="F60">
        <f ca="1">IFERROR(IF(0=LEN(ReferenceData!$F$60),"",ReferenceData!$F$60),"")</f>
        <v>854637</v>
      </c>
      <c r="G60">
        <f ca="1">IFERROR(IF(0=LEN(ReferenceData!$G$60),"",ReferenceData!$G$60),"")</f>
        <v>1125232</v>
      </c>
      <c r="H60">
        <f ca="1">IFERROR(IF(0=LEN(ReferenceData!$H$60),"",ReferenceData!$H$60),"")</f>
        <v>1131453</v>
      </c>
      <c r="I60">
        <f ca="1">IFERROR(IF(0=LEN(ReferenceData!$I$60),"",ReferenceData!$I$60),"")</f>
        <v>1160486</v>
      </c>
      <c r="J60">
        <f ca="1">IFERROR(IF(0=LEN(ReferenceData!$J$60),"",ReferenceData!$J$60),"")</f>
        <v>929910</v>
      </c>
      <c r="K60">
        <f ca="1">IFERROR(IF(0=LEN(ReferenceData!$K$60),"",ReferenceData!$K$60),"")</f>
        <v>1230521</v>
      </c>
      <c r="L60">
        <f ca="1">IFERROR(IF(0=LEN(ReferenceData!$L$60),"",ReferenceData!$L$60),"")</f>
        <v>1286881</v>
      </c>
      <c r="M60">
        <f ca="1">IFERROR(IF(0=LEN(ReferenceData!$M$60),"",ReferenceData!$M$60),"")</f>
        <v>1313722</v>
      </c>
      <c r="N60">
        <f ca="1">IFERROR(IF(0=LEN(ReferenceData!$N$60),"",ReferenceData!$N$60),"")</f>
        <v>1331182</v>
      </c>
      <c r="O60">
        <f ca="1">IFERROR(IF(0=LEN(ReferenceData!$O$60),"",ReferenceData!$O$60),"")</f>
        <v>1340222</v>
      </c>
      <c r="P60">
        <f ca="1">IFERROR(IF(0=LEN(ReferenceData!$P$60),"",ReferenceData!$P$60),"")</f>
        <v>1336364</v>
      </c>
      <c r="Q60">
        <f ca="1">IFERROR(IF(0=LEN(ReferenceData!$Q$60),"",ReferenceData!$Q$60),"")</f>
        <v>1322400</v>
      </c>
      <c r="R60">
        <f ca="1">IFERROR(IF(0=LEN(ReferenceData!$R$60),"",ReferenceData!$R$60),"")</f>
        <v>1329961</v>
      </c>
      <c r="S60">
        <f ca="1">IFERROR(IF(0=LEN(ReferenceData!$S$60),"",ReferenceData!$S$60),"")</f>
        <v>1362246</v>
      </c>
      <c r="T60">
        <f ca="1">IFERROR(IF(0=LEN(ReferenceData!$T$60),"",ReferenceData!$T$60),"")</f>
        <v>1279128</v>
      </c>
      <c r="U60">
        <f ca="1">IFERROR(IF(0=LEN(ReferenceData!$U$60),"",ReferenceData!$U$60),"")</f>
        <v>1400558</v>
      </c>
      <c r="V60">
        <f ca="1">IFERROR(IF(0=LEN(ReferenceData!$V$60),"",ReferenceData!$V$60),"")</f>
        <v>1507634</v>
      </c>
      <c r="W60">
        <f ca="1">IFERROR(IF(0=LEN(ReferenceData!$W$60),"",ReferenceData!$W$60),"")</f>
        <v>1606868</v>
      </c>
      <c r="X60">
        <f ca="1">IFERROR(IF(0=LEN(ReferenceData!$X$60),"",ReferenceData!$X$60),"")</f>
        <v>1687835</v>
      </c>
      <c r="Y60">
        <f ca="1">IFERROR(IF(0=LEN(ReferenceData!$Y$60),"",ReferenceData!$Y$60),"")</f>
        <v>1740205</v>
      </c>
      <c r="Z60">
        <f ca="1">IFERROR(IF(0=LEN(ReferenceData!$Z$60),"",ReferenceData!$Z$60),"")</f>
        <v>1785958</v>
      </c>
      <c r="AA60">
        <f ca="1">IFERROR(IF(0=LEN(ReferenceData!$AA$60),"",ReferenceData!$AA$60),"")</f>
        <v>1630971</v>
      </c>
      <c r="AB60">
        <f ca="1">IFERROR(IF(0=LEN(ReferenceData!$AB$60),"",ReferenceData!$AB$60),"")</f>
        <v>1672312</v>
      </c>
      <c r="AC60">
        <f ca="1">IFERROR(IF(0=LEN(ReferenceData!$AC$60),"",ReferenceData!$AC$60),"")</f>
        <v>1683880</v>
      </c>
      <c r="AD60">
        <f ca="1">IFERROR(IF(0=LEN(ReferenceData!$AD$60),"",ReferenceData!$AD$60),"")</f>
        <v>199307</v>
      </c>
      <c r="AE60">
        <f ca="1">IFERROR(IF(0=LEN(ReferenceData!$AE$60),"",ReferenceData!$AE$60),"")</f>
        <v>1709456</v>
      </c>
      <c r="AF60">
        <f ca="1">IFERROR(IF(0=LEN(ReferenceData!$AF$60),"",ReferenceData!$AF$60),"")</f>
        <v>1714953</v>
      </c>
      <c r="AG60">
        <f ca="1">IFERROR(IF(0=LEN(ReferenceData!$AG$60),"",ReferenceData!$AG$60),"")</f>
        <v>1738027</v>
      </c>
      <c r="AH60">
        <f ca="1">IFERROR(IF(0=LEN(ReferenceData!$AH$60),"",ReferenceData!$AH$60),"")</f>
        <v>1748524</v>
      </c>
      <c r="AI60">
        <f ca="1">IFERROR(IF(0=LEN(ReferenceData!$AI$60),"",ReferenceData!$AI$60),"")</f>
        <v>1761836</v>
      </c>
      <c r="AJ60">
        <f ca="1">IFERROR(IF(0=LEN(ReferenceData!$AJ$60),"",ReferenceData!$AJ$60),"")</f>
        <v>1734173</v>
      </c>
      <c r="AK60">
        <f ca="1">IFERROR(IF(0=LEN(ReferenceData!$AK$60),"",ReferenceData!$AK$60),"")</f>
        <v>1735651</v>
      </c>
      <c r="AL60">
        <f ca="1">IFERROR(IF(0=LEN(ReferenceData!$AL$60),"",ReferenceData!$AL$60),"")</f>
        <v>1750939</v>
      </c>
      <c r="AM60">
        <f ca="1">IFERROR(IF(0=LEN(ReferenceData!$AM$60),"",ReferenceData!$AM$60),"")</f>
        <v>1774660</v>
      </c>
      <c r="AN60">
        <f ca="1">IFERROR(IF(0=LEN(ReferenceData!$AN$60),"",ReferenceData!$AN$60),"")</f>
        <v>1796917</v>
      </c>
      <c r="AO60">
        <f ca="1">IFERROR(IF(0=LEN(ReferenceData!$AO$60),"",ReferenceData!$AO$60),"")</f>
        <v>1819803</v>
      </c>
      <c r="AP60">
        <f ca="1">IFERROR(IF(0=LEN(ReferenceData!$AP$60),"",ReferenceData!$AP$60),"")</f>
        <v>1844569.8370000001</v>
      </c>
      <c r="AQ60">
        <f ca="1">IFERROR(IF(0=LEN(ReferenceData!$AQ$60),"",ReferenceData!$AQ$60),"")</f>
        <v>1871018</v>
      </c>
      <c r="AR60">
        <f ca="1">IFERROR(IF(0=LEN(ReferenceData!$AR$60),"",ReferenceData!$AR$60),"")</f>
        <v>1878889.922</v>
      </c>
      <c r="AS60">
        <f ca="1">IFERROR(IF(0=LEN(ReferenceData!$AS$60),"",ReferenceData!$AS$60),"")</f>
        <v>1845122.4</v>
      </c>
      <c r="AT60">
        <f ca="1">IFERROR(IF(0=LEN(ReferenceData!$AT$60),"",ReferenceData!$AT$60),"")</f>
        <v>1953258.013</v>
      </c>
      <c r="AU60">
        <f ca="1">IFERROR(IF(0=LEN(ReferenceData!$AU$60),"",ReferenceData!$AU$60),"")</f>
        <v>1974614</v>
      </c>
      <c r="AV60">
        <f ca="1">IFERROR(IF(0=LEN(ReferenceData!$AV$60),"",ReferenceData!$AV$60),"")</f>
        <v>2001050.456</v>
      </c>
      <c r="AW60">
        <f ca="1">IFERROR(IF(0=LEN(ReferenceData!$AW$60),"",ReferenceData!$AW$60),"")</f>
        <v>2017821</v>
      </c>
      <c r="AX60">
        <f ca="1">IFERROR(IF(0=LEN(ReferenceData!$AX$60),"",ReferenceData!$AX$60),"")</f>
        <v>2167043.5120000001</v>
      </c>
      <c r="AY60">
        <f ca="1">IFERROR(IF(0=LEN(ReferenceData!$AY$60),"",ReferenceData!$AY$60),"")</f>
        <v>2051391</v>
      </c>
      <c r="AZ60">
        <f ca="1">IFERROR(IF(0=LEN(ReferenceData!$AZ$60),"",ReferenceData!$AZ$60),"")</f>
        <v>2055782</v>
      </c>
      <c r="BA60">
        <f ca="1">IFERROR(IF(0=LEN(ReferenceData!$BA$60),"",ReferenceData!$BA$60),"")</f>
        <v>2060347</v>
      </c>
      <c r="BB60">
        <f ca="1">IFERROR(IF(0=LEN(ReferenceData!$BB$60),"",ReferenceData!$BB$60),"")</f>
        <v>2229257</v>
      </c>
      <c r="BC60">
        <f ca="1">IFERROR(IF(0=LEN(ReferenceData!$BC$60),"",ReferenceData!$BC$60),"")</f>
        <v>2071973</v>
      </c>
      <c r="BD60">
        <f ca="1">IFERROR(IF(0=LEN(ReferenceData!$BD$60),"",ReferenceData!$BD$60),"")</f>
        <v>2055691</v>
      </c>
      <c r="BE60">
        <f ca="1">IFERROR(IF(0=LEN(ReferenceData!$BE$60),"",ReferenceData!$BE$60),"")</f>
        <v>2029136</v>
      </c>
      <c r="BF60">
        <f ca="1">IFERROR(IF(0=LEN(ReferenceData!$BF$60),"",ReferenceData!$BF$60),"")</f>
        <v>2177416.7999999998</v>
      </c>
      <c r="BG60">
        <f ca="1">IFERROR(IF(0=LEN(ReferenceData!$BG$60),"",ReferenceData!$BG$60),"")</f>
        <v>1994768</v>
      </c>
      <c r="BH60">
        <f ca="1">IFERROR(IF(0=LEN(ReferenceData!$BH$60),"",ReferenceData!$BH$60),"")</f>
        <v>1988851</v>
      </c>
      <c r="BI60">
        <f ca="1">IFERROR(IF(0=LEN(ReferenceData!$BI$60),"",ReferenceData!$BI$60),"")</f>
        <v>1986617</v>
      </c>
      <c r="BJ60">
        <f ca="1">IFERROR(IF(0=LEN(ReferenceData!$BJ$60),"",ReferenceData!$BJ$60),"")</f>
        <v>2163658.7999999998</v>
      </c>
      <c r="BK60">
        <f ca="1">IFERROR(IF(0=LEN(ReferenceData!$BK$60),"",ReferenceData!$BK$60),"")</f>
        <v>1980661</v>
      </c>
      <c r="BL60">
        <f ca="1">IFERROR(IF(0=LEN(ReferenceData!$BL$60),"",ReferenceData!$BL$60),"")</f>
        <v>1982850</v>
      </c>
      <c r="BM60" t="str">
        <f ca="1">IFERROR(IF(0=LEN(ReferenceData!$BM$60),"",ReferenceData!$BM$60),"")</f>
        <v/>
      </c>
    </row>
    <row r="61" spans="1:65">
      <c r="A61" t="str">
        <f>IFERROR(IF(0=LEN(ReferenceData!$A$61),"",ReferenceData!$A$61),"")</f>
        <v xml:space="preserve">    Bank OZK</v>
      </c>
      <c r="B61" t="str">
        <f>IFERROR(IF(0=LEN(ReferenceData!$B$61),"",ReferenceData!$B$61),"")</f>
        <v>OZK US Equity</v>
      </c>
      <c r="C61" t="str">
        <f>IFERROR(IF(0=LEN(ReferenceData!$C$61),"",ReferenceData!$C$61),"")</f>
        <v>BS962</v>
      </c>
      <c r="D61" t="str">
        <f>IFERROR(IF(0=LEN(ReferenceData!$D$61),"",ReferenceData!$D$61),"")</f>
        <v>BS_RSD_MTG_SRVC_PORTFOLIO</v>
      </c>
      <c r="E61" t="str">
        <f>IFERROR(IF(0=LEN(ReferenceData!$E$61),"",ReferenceData!$E$61),"")</f>
        <v>Dynamic</v>
      </c>
      <c r="F61" t="str">
        <f ca="1">IFERROR(IF(0=LEN(ReferenceData!$F$61),"",ReferenceData!$F$61),"")</f>
        <v/>
      </c>
      <c r="G61" t="str">
        <f ca="1">IFERROR(IF(0=LEN(ReferenceData!$G$61),"",ReferenceData!$G$61),"")</f>
        <v/>
      </c>
      <c r="H61" t="str">
        <f ca="1">IFERROR(IF(0=LEN(ReferenceData!$H$61),"",ReferenceData!$H$61),"")</f>
        <v/>
      </c>
      <c r="I61" t="str">
        <f ca="1">IFERROR(IF(0=LEN(ReferenceData!$I$61),"",ReferenceData!$I$61),"")</f>
        <v/>
      </c>
      <c r="J61" t="str">
        <f ca="1">IFERROR(IF(0=LEN(ReferenceData!$J$61),"",ReferenceData!$J$61),"")</f>
        <v/>
      </c>
      <c r="K61" t="str">
        <f ca="1">IFERROR(IF(0=LEN(ReferenceData!$K$61),"",ReferenceData!$K$61),"")</f>
        <v/>
      </c>
      <c r="L61" t="str">
        <f ca="1">IFERROR(IF(0=LEN(ReferenceData!$L$61),"",ReferenceData!$L$61),"")</f>
        <v/>
      </c>
      <c r="M61" t="str">
        <f ca="1">IFERROR(IF(0=LEN(ReferenceData!$M$61),"",ReferenceData!$M$61),"")</f>
        <v/>
      </c>
      <c r="N61" t="str">
        <f ca="1">IFERROR(IF(0=LEN(ReferenceData!$N$61),"",ReferenceData!$N$61),"")</f>
        <v/>
      </c>
      <c r="O61" t="str">
        <f ca="1">IFERROR(IF(0=LEN(ReferenceData!$O$61),"",ReferenceData!$O$61),"")</f>
        <v/>
      </c>
      <c r="P61" t="str">
        <f ca="1">IFERROR(IF(0=LEN(ReferenceData!$P$61),"",ReferenceData!$P$61),"")</f>
        <v/>
      </c>
      <c r="Q61" t="str">
        <f ca="1">IFERROR(IF(0=LEN(ReferenceData!$Q$61),"",ReferenceData!$Q$61),"")</f>
        <v/>
      </c>
      <c r="R61" t="str">
        <f ca="1">IFERROR(IF(0=LEN(ReferenceData!$R$61),"",ReferenceData!$R$61),"")</f>
        <v/>
      </c>
      <c r="S61" t="str">
        <f ca="1">IFERROR(IF(0=LEN(ReferenceData!$S$61),"",ReferenceData!$S$61),"")</f>
        <v/>
      </c>
      <c r="T61" t="str">
        <f ca="1">IFERROR(IF(0=LEN(ReferenceData!$T$61),"",ReferenceData!$T$61),"")</f>
        <v/>
      </c>
      <c r="U61" t="str">
        <f ca="1">IFERROR(IF(0=LEN(ReferenceData!$U$61),"",ReferenceData!$U$61),"")</f>
        <v/>
      </c>
      <c r="V61" t="str">
        <f ca="1">IFERROR(IF(0=LEN(ReferenceData!$V$61),"",ReferenceData!$V$61),"")</f>
        <v/>
      </c>
      <c r="W61" t="str">
        <f ca="1">IFERROR(IF(0=LEN(ReferenceData!$W$61),"",ReferenceData!$W$61),"")</f>
        <v/>
      </c>
      <c r="X61" t="str">
        <f ca="1">IFERROR(IF(0=LEN(ReferenceData!$X$61),"",ReferenceData!$X$61),"")</f>
        <v/>
      </c>
      <c r="Y61" t="str">
        <f ca="1">IFERROR(IF(0=LEN(ReferenceData!$Y$61),"",ReferenceData!$Y$61),"")</f>
        <v/>
      </c>
      <c r="Z61" t="str">
        <f ca="1">IFERROR(IF(0=LEN(ReferenceData!$Z$61),"",ReferenceData!$Z$61),"")</f>
        <v/>
      </c>
      <c r="AA61" t="str">
        <f ca="1">IFERROR(IF(0=LEN(ReferenceData!$AA$61),"",ReferenceData!$AA$61),"")</f>
        <v/>
      </c>
      <c r="AB61" t="str">
        <f ca="1">IFERROR(IF(0=LEN(ReferenceData!$AB$61),"",ReferenceData!$AB$61),"")</f>
        <v/>
      </c>
      <c r="AC61" t="str">
        <f ca="1">IFERROR(IF(0=LEN(ReferenceData!$AC$61),"",ReferenceData!$AC$61),"")</f>
        <v/>
      </c>
      <c r="AD61" t="str">
        <f ca="1">IFERROR(IF(0=LEN(ReferenceData!$AD$61),"",ReferenceData!$AD$61),"")</f>
        <v/>
      </c>
      <c r="AE61" t="str">
        <f ca="1">IFERROR(IF(0=LEN(ReferenceData!$AE$61),"",ReferenceData!$AE$61),"")</f>
        <v/>
      </c>
      <c r="AF61" t="str">
        <f ca="1">IFERROR(IF(0=LEN(ReferenceData!$AF$61),"",ReferenceData!$AF$61),"")</f>
        <v/>
      </c>
      <c r="AG61" t="str">
        <f ca="1">IFERROR(IF(0=LEN(ReferenceData!$AG$61),"",ReferenceData!$AG$61),"")</f>
        <v/>
      </c>
      <c r="AH61" t="str">
        <f ca="1">IFERROR(IF(0=LEN(ReferenceData!$AH$61),"",ReferenceData!$AH$61),"")</f>
        <v/>
      </c>
      <c r="AI61" t="str">
        <f ca="1">IFERROR(IF(0=LEN(ReferenceData!$AI$61),"",ReferenceData!$AI$61),"")</f>
        <v/>
      </c>
      <c r="AJ61" t="str">
        <f ca="1">IFERROR(IF(0=LEN(ReferenceData!$AJ$61),"",ReferenceData!$AJ$61),"")</f>
        <v/>
      </c>
      <c r="AK61" t="str">
        <f ca="1">IFERROR(IF(0=LEN(ReferenceData!$AK$61),"",ReferenceData!$AK$61),"")</f>
        <v/>
      </c>
      <c r="AL61" t="str">
        <f ca="1">IFERROR(IF(0=LEN(ReferenceData!$AL$61),"",ReferenceData!$AL$61),"")</f>
        <v/>
      </c>
      <c r="AM61" t="str">
        <f ca="1">IFERROR(IF(0=LEN(ReferenceData!$AM$61),"",ReferenceData!$AM$61),"")</f>
        <v/>
      </c>
      <c r="AN61" t="str">
        <f ca="1">IFERROR(IF(0=LEN(ReferenceData!$AN$61),"",ReferenceData!$AN$61),"")</f>
        <v/>
      </c>
      <c r="AO61" t="str">
        <f ca="1">IFERROR(IF(0=LEN(ReferenceData!$AO$61),"",ReferenceData!$AO$61),"")</f>
        <v/>
      </c>
      <c r="AP61" t="str">
        <f ca="1">IFERROR(IF(0=LEN(ReferenceData!$AP$61),"",ReferenceData!$AP$61),"")</f>
        <v/>
      </c>
      <c r="AQ61" t="str">
        <f ca="1">IFERROR(IF(0=LEN(ReferenceData!$AQ$61),"",ReferenceData!$AQ$61),"")</f>
        <v/>
      </c>
      <c r="AR61" t="str">
        <f ca="1">IFERROR(IF(0=LEN(ReferenceData!$AR$61),"",ReferenceData!$AR$61),"")</f>
        <v/>
      </c>
      <c r="AS61" t="str">
        <f ca="1">IFERROR(IF(0=LEN(ReferenceData!$AS$61),"",ReferenceData!$AS$61),"")</f>
        <v/>
      </c>
      <c r="AT61" t="str">
        <f ca="1">IFERROR(IF(0=LEN(ReferenceData!$AT$61),"",ReferenceData!$AT$61),"")</f>
        <v/>
      </c>
      <c r="AU61" t="str">
        <f ca="1">IFERROR(IF(0=LEN(ReferenceData!$AU$61),"",ReferenceData!$AU$61),"")</f>
        <v/>
      </c>
      <c r="AV61" t="str">
        <f ca="1">IFERROR(IF(0=LEN(ReferenceData!$AV$61),"",ReferenceData!$AV$61),"")</f>
        <v/>
      </c>
      <c r="AW61" t="str">
        <f ca="1">IFERROR(IF(0=LEN(ReferenceData!$AW$61),"",ReferenceData!$AW$61),"")</f>
        <v/>
      </c>
      <c r="AX61" t="str">
        <f ca="1">IFERROR(IF(0=LEN(ReferenceData!$AX$61),"",ReferenceData!$AX$61),"")</f>
        <v/>
      </c>
      <c r="AY61" t="str">
        <f ca="1">IFERROR(IF(0=LEN(ReferenceData!$AY$61),"",ReferenceData!$AY$61),"")</f>
        <v/>
      </c>
      <c r="AZ61" t="str">
        <f ca="1">IFERROR(IF(0=LEN(ReferenceData!$AZ$61),"",ReferenceData!$AZ$61),"")</f>
        <v/>
      </c>
      <c r="BA61" t="str">
        <f ca="1">IFERROR(IF(0=LEN(ReferenceData!$BA$61),"",ReferenceData!$BA$61),"")</f>
        <v/>
      </c>
      <c r="BB61" t="str">
        <f ca="1">IFERROR(IF(0=LEN(ReferenceData!$BB$61),"",ReferenceData!$BB$61),"")</f>
        <v/>
      </c>
      <c r="BC61" t="str">
        <f ca="1">IFERROR(IF(0=LEN(ReferenceData!$BC$61),"",ReferenceData!$BC$61),"")</f>
        <v/>
      </c>
      <c r="BD61" t="str">
        <f ca="1">IFERROR(IF(0=LEN(ReferenceData!$BD$61),"",ReferenceData!$BD$61),"")</f>
        <v/>
      </c>
      <c r="BE61" t="str">
        <f ca="1">IFERROR(IF(0=LEN(ReferenceData!$BE$61),"",ReferenceData!$BE$61),"")</f>
        <v/>
      </c>
      <c r="BF61" t="str">
        <f ca="1">IFERROR(IF(0=LEN(ReferenceData!$BF$61),"",ReferenceData!$BF$61),"")</f>
        <v/>
      </c>
      <c r="BG61" t="str">
        <f ca="1">IFERROR(IF(0=LEN(ReferenceData!$BG$61),"",ReferenceData!$BG$61),"")</f>
        <v/>
      </c>
      <c r="BH61" t="str">
        <f ca="1">IFERROR(IF(0=LEN(ReferenceData!$BH$61),"",ReferenceData!$BH$61),"")</f>
        <v/>
      </c>
      <c r="BI61" t="str">
        <f ca="1">IFERROR(IF(0=LEN(ReferenceData!$BI$61),"",ReferenceData!$BI$61),"")</f>
        <v/>
      </c>
      <c r="BJ61" t="str">
        <f ca="1">IFERROR(IF(0=LEN(ReferenceData!$BJ$61),"",ReferenceData!$BJ$61),"")</f>
        <v/>
      </c>
      <c r="BK61" t="str">
        <f ca="1">IFERROR(IF(0=LEN(ReferenceData!$BK$61),"",ReferenceData!$BK$61),"")</f>
        <v/>
      </c>
      <c r="BL61" t="str">
        <f ca="1">IFERROR(IF(0=LEN(ReferenceData!$BL$61),"",ReferenceData!$BL$61),"")</f>
        <v/>
      </c>
      <c r="BM61" t="str">
        <f ca="1">IFERROR(IF(0=LEN(ReferenceData!$BM$61),"",ReferenceData!$BM$61),"")</f>
        <v/>
      </c>
    </row>
    <row r="62" spans="1:65">
      <c r="A62" t="str">
        <f>IFERROR(IF(0=LEN(ReferenceData!$A$62),"",ReferenceData!$A$62),"")</f>
        <v xml:space="preserve">    Citizens Financial Group Inc</v>
      </c>
      <c r="B62" t="str">
        <f>IFERROR(IF(0=LEN(ReferenceData!$B$62),"",ReferenceData!$B$62),"")</f>
        <v>CFG US Equity</v>
      </c>
      <c r="C62" t="str">
        <f>IFERROR(IF(0=LEN(ReferenceData!$C$62),"",ReferenceData!$C$62),"")</f>
        <v>BS962</v>
      </c>
      <c r="D62" t="str">
        <f>IFERROR(IF(0=LEN(ReferenceData!$D$62),"",ReferenceData!$D$62),"")</f>
        <v>BS_RSD_MTG_SRVC_PORTFOLIO</v>
      </c>
      <c r="E62" t="str">
        <f>IFERROR(IF(0=LEN(ReferenceData!$E$62),"",ReferenceData!$E$62),"")</f>
        <v>Dynamic</v>
      </c>
      <c r="F62" t="str">
        <f ca="1">IFERROR(IF(0=LEN(ReferenceData!$F$62),"",ReferenceData!$F$62),"")</f>
        <v/>
      </c>
      <c r="G62" t="str">
        <f ca="1">IFERROR(IF(0=LEN(ReferenceData!$G$62),"",ReferenceData!$G$62),"")</f>
        <v/>
      </c>
      <c r="H62" t="str">
        <f ca="1">IFERROR(IF(0=LEN(ReferenceData!$H$62),"",ReferenceData!$H$62),"")</f>
        <v/>
      </c>
      <c r="I62" t="str">
        <f ca="1">IFERROR(IF(0=LEN(ReferenceData!$I$62),"",ReferenceData!$I$62),"")</f>
        <v/>
      </c>
      <c r="J62" t="str">
        <f ca="1">IFERROR(IF(0=LEN(ReferenceData!$J$62),"",ReferenceData!$J$62),"")</f>
        <v/>
      </c>
      <c r="K62" t="str">
        <f ca="1">IFERROR(IF(0=LEN(ReferenceData!$K$62),"",ReferenceData!$K$62),"")</f>
        <v/>
      </c>
      <c r="L62" t="str">
        <f ca="1">IFERROR(IF(0=LEN(ReferenceData!$L$62),"",ReferenceData!$L$62),"")</f>
        <v/>
      </c>
      <c r="M62" t="str">
        <f ca="1">IFERROR(IF(0=LEN(ReferenceData!$M$62),"",ReferenceData!$M$62),"")</f>
        <v/>
      </c>
      <c r="N62" t="str">
        <f ca="1">IFERROR(IF(0=LEN(ReferenceData!$N$62),"",ReferenceData!$N$62),"")</f>
        <v/>
      </c>
      <c r="O62" t="str">
        <f ca="1">IFERROR(IF(0=LEN(ReferenceData!$O$62),"",ReferenceData!$O$62),"")</f>
        <v/>
      </c>
      <c r="P62" t="str">
        <f ca="1">IFERROR(IF(0=LEN(ReferenceData!$P$62),"",ReferenceData!$P$62),"")</f>
        <v/>
      </c>
      <c r="Q62" t="str">
        <f ca="1">IFERROR(IF(0=LEN(ReferenceData!$Q$62),"",ReferenceData!$Q$62),"")</f>
        <v/>
      </c>
      <c r="R62" t="str">
        <f ca="1">IFERROR(IF(0=LEN(ReferenceData!$R$62),"",ReferenceData!$R$62),"")</f>
        <v/>
      </c>
      <c r="S62" t="str">
        <f ca="1">IFERROR(IF(0=LEN(ReferenceData!$S$62),"",ReferenceData!$S$62),"")</f>
        <v/>
      </c>
      <c r="T62" t="str">
        <f ca="1">IFERROR(IF(0=LEN(ReferenceData!$T$62),"",ReferenceData!$T$62),"")</f>
        <v/>
      </c>
      <c r="U62" t="str">
        <f ca="1">IFERROR(IF(0=LEN(ReferenceData!$U$62),"",ReferenceData!$U$62),"")</f>
        <v/>
      </c>
      <c r="V62" t="str">
        <f ca="1">IFERROR(IF(0=LEN(ReferenceData!$V$62),"",ReferenceData!$V$62),"")</f>
        <v/>
      </c>
      <c r="W62" t="str">
        <f ca="1">IFERROR(IF(0=LEN(ReferenceData!$W$62),"",ReferenceData!$W$62),"")</f>
        <v/>
      </c>
      <c r="X62" t="str">
        <f ca="1">IFERROR(IF(0=LEN(ReferenceData!$X$62),"",ReferenceData!$X$62),"")</f>
        <v/>
      </c>
      <c r="Y62" t="str">
        <f ca="1">IFERROR(IF(0=LEN(ReferenceData!$Y$62),"",ReferenceData!$Y$62),"")</f>
        <v/>
      </c>
      <c r="Z62" t="str">
        <f ca="1">IFERROR(IF(0=LEN(ReferenceData!$Z$62),"",ReferenceData!$Z$62),"")</f>
        <v/>
      </c>
      <c r="AA62" t="str">
        <f ca="1">IFERROR(IF(0=LEN(ReferenceData!$AA$62),"",ReferenceData!$AA$62),"")</f>
        <v/>
      </c>
      <c r="AB62" t="str">
        <f ca="1">IFERROR(IF(0=LEN(ReferenceData!$AB$62),"",ReferenceData!$AB$62),"")</f>
        <v/>
      </c>
      <c r="AC62" t="str">
        <f ca="1">IFERROR(IF(0=LEN(ReferenceData!$AC$62),"",ReferenceData!$AC$62),"")</f>
        <v/>
      </c>
      <c r="AD62" t="str">
        <f ca="1">IFERROR(IF(0=LEN(ReferenceData!$AD$62),"",ReferenceData!$AD$62),"")</f>
        <v/>
      </c>
      <c r="AE62" t="str">
        <f ca="1">IFERROR(IF(0=LEN(ReferenceData!$AE$62),"",ReferenceData!$AE$62),"")</f>
        <v/>
      </c>
      <c r="AF62" t="str">
        <f ca="1">IFERROR(IF(0=LEN(ReferenceData!$AF$62),"",ReferenceData!$AF$62),"")</f>
        <v/>
      </c>
      <c r="AG62" t="str">
        <f ca="1">IFERROR(IF(0=LEN(ReferenceData!$AG$62),"",ReferenceData!$AG$62),"")</f>
        <v/>
      </c>
      <c r="AH62" t="str">
        <f ca="1">IFERROR(IF(0=LEN(ReferenceData!$AH$62),"",ReferenceData!$AH$62),"")</f>
        <v/>
      </c>
      <c r="AI62" t="str">
        <f ca="1">IFERROR(IF(0=LEN(ReferenceData!$AI$62),"",ReferenceData!$AI$62),"")</f>
        <v/>
      </c>
      <c r="AJ62" t="str">
        <f ca="1">IFERROR(IF(0=LEN(ReferenceData!$AJ$62),"",ReferenceData!$AJ$62),"")</f>
        <v/>
      </c>
      <c r="AK62" t="str">
        <f ca="1">IFERROR(IF(0=LEN(ReferenceData!$AK$62),"",ReferenceData!$AK$62),"")</f>
        <v/>
      </c>
      <c r="AL62" t="str">
        <f ca="1">IFERROR(IF(0=LEN(ReferenceData!$AL$62),"",ReferenceData!$AL$62),"")</f>
        <v/>
      </c>
      <c r="AM62" t="str">
        <f ca="1">IFERROR(IF(0=LEN(ReferenceData!$AM$62),"",ReferenceData!$AM$62),"")</f>
        <v/>
      </c>
      <c r="AN62" t="str">
        <f ca="1">IFERROR(IF(0=LEN(ReferenceData!$AN$62),"",ReferenceData!$AN$62),"")</f>
        <v/>
      </c>
      <c r="AO62" t="str">
        <f ca="1">IFERROR(IF(0=LEN(ReferenceData!$AO$62),"",ReferenceData!$AO$62),"")</f>
        <v/>
      </c>
      <c r="AP62" t="str">
        <f ca="1">IFERROR(IF(0=LEN(ReferenceData!$AP$62),"",ReferenceData!$AP$62),"")</f>
        <v/>
      </c>
      <c r="AQ62" t="str">
        <f ca="1">IFERROR(IF(0=LEN(ReferenceData!$AQ$62),"",ReferenceData!$AQ$62),"")</f>
        <v/>
      </c>
      <c r="AR62" t="str">
        <f ca="1">IFERROR(IF(0=LEN(ReferenceData!$AR$62),"",ReferenceData!$AR$62),"")</f>
        <v/>
      </c>
      <c r="AS62" t="str">
        <f ca="1">IFERROR(IF(0=LEN(ReferenceData!$AS$62),"",ReferenceData!$AS$62),"")</f>
        <v/>
      </c>
      <c r="AT62" t="str">
        <f ca="1">IFERROR(IF(0=LEN(ReferenceData!$AT$62),"",ReferenceData!$AT$62),"")</f>
        <v/>
      </c>
      <c r="AU62" t="str">
        <f ca="1">IFERROR(IF(0=LEN(ReferenceData!$AU$62),"",ReferenceData!$AU$62),"")</f>
        <v/>
      </c>
      <c r="AV62" t="str">
        <f ca="1">IFERROR(IF(0=LEN(ReferenceData!$AV$62),"",ReferenceData!$AV$62),"")</f>
        <v/>
      </c>
      <c r="AW62" t="str">
        <f ca="1">IFERROR(IF(0=LEN(ReferenceData!$AW$62),"",ReferenceData!$AW$62),"")</f>
        <v/>
      </c>
      <c r="AX62" t="str">
        <f ca="1">IFERROR(IF(0=LEN(ReferenceData!$AX$62),"",ReferenceData!$AX$62),"")</f>
        <v/>
      </c>
      <c r="AY62" t="str">
        <f ca="1">IFERROR(IF(0=LEN(ReferenceData!$AY$62),"",ReferenceData!$AY$62),"")</f>
        <v/>
      </c>
      <c r="AZ62" t="str">
        <f ca="1">IFERROR(IF(0=LEN(ReferenceData!$AZ$62),"",ReferenceData!$AZ$62),"")</f>
        <v/>
      </c>
      <c r="BA62" t="str">
        <f ca="1">IFERROR(IF(0=LEN(ReferenceData!$BA$62),"",ReferenceData!$BA$62),"")</f>
        <v/>
      </c>
      <c r="BB62" t="str">
        <f ca="1">IFERROR(IF(0=LEN(ReferenceData!$BB$62),"",ReferenceData!$BB$62),"")</f>
        <v/>
      </c>
      <c r="BC62" t="str">
        <f ca="1">IFERROR(IF(0=LEN(ReferenceData!$BC$62),"",ReferenceData!$BC$62),"")</f>
        <v/>
      </c>
      <c r="BD62" t="str">
        <f ca="1">IFERROR(IF(0=LEN(ReferenceData!$BD$62),"",ReferenceData!$BD$62),"")</f>
        <v/>
      </c>
      <c r="BE62" t="str">
        <f ca="1">IFERROR(IF(0=LEN(ReferenceData!$BE$62),"",ReferenceData!$BE$62),"")</f>
        <v/>
      </c>
      <c r="BF62" t="str">
        <f ca="1">IFERROR(IF(0=LEN(ReferenceData!$BF$62),"",ReferenceData!$BF$62),"")</f>
        <v/>
      </c>
      <c r="BG62" t="str">
        <f ca="1">IFERROR(IF(0=LEN(ReferenceData!$BG$62),"",ReferenceData!$BG$62),"")</f>
        <v/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 t="str">
        <f ca="1">IFERROR(IF(0=LEN(ReferenceData!$BK$62),"",ReferenceData!$BK$62),"")</f>
        <v/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>
      <c r="A63" t="str">
        <f>IFERROR(IF(0=LEN(ReferenceData!$A$63),"",ReferenceData!$A$63),"")</f>
        <v xml:space="preserve">    Comerica Inc</v>
      </c>
      <c r="B63" t="str">
        <f>IFERROR(IF(0=LEN(ReferenceData!$B$63),"",ReferenceData!$B$63),"")</f>
        <v>CMA US Equity</v>
      </c>
      <c r="C63" t="str">
        <f>IFERROR(IF(0=LEN(ReferenceData!$C$63),"",ReferenceData!$C$63),"")</f>
        <v>BS962</v>
      </c>
      <c r="D63" t="str">
        <f>IFERROR(IF(0=LEN(ReferenceData!$D$63),"",ReferenceData!$D$63),"")</f>
        <v>BS_RSD_MTG_SRVC_PORTFOLIO</v>
      </c>
      <c r="E63" t="str">
        <f>IFERROR(IF(0=LEN(ReferenceData!$E$63),"",ReferenceData!$E$63),"")</f>
        <v>Dynamic</v>
      </c>
      <c r="F63" t="str">
        <f ca="1">IFERROR(IF(0=LEN(ReferenceData!$F$63),"",ReferenceData!$F$63),"")</f>
        <v/>
      </c>
      <c r="G63" t="str">
        <f ca="1">IFERROR(IF(0=LEN(ReferenceData!$G$63),"",ReferenceData!$G$63),"")</f>
        <v/>
      </c>
      <c r="H63" t="str">
        <f ca="1">IFERROR(IF(0=LEN(ReferenceData!$H$63),"",ReferenceData!$H$63),"")</f>
        <v/>
      </c>
      <c r="I63" t="str">
        <f ca="1">IFERROR(IF(0=LEN(ReferenceData!$I$63),"",ReferenceData!$I$63),"")</f>
        <v/>
      </c>
      <c r="J63" t="str">
        <f ca="1">IFERROR(IF(0=LEN(ReferenceData!$J$63),"",ReferenceData!$J$63),"")</f>
        <v/>
      </c>
      <c r="K63" t="str">
        <f ca="1">IFERROR(IF(0=LEN(ReferenceData!$K$63),"",ReferenceData!$K$63),"")</f>
        <v/>
      </c>
      <c r="L63" t="str">
        <f ca="1">IFERROR(IF(0=LEN(ReferenceData!$L$63),"",ReferenceData!$L$63),"")</f>
        <v/>
      </c>
      <c r="M63" t="str">
        <f ca="1">IFERROR(IF(0=LEN(ReferenceData!$M$63),"",ReferenceData!$M$63),"")</f>
        <v/>
      </c>
      <c r="N63" t="str">
        <f ca="1">IFERROR(IF(0=LEN(ReferenceData!$N$63),"",ReferenceData!$N$63),"")</f>
        <v/>
      </c>
      <c r="O63" t="str">
        <f ca="1">IFERROR(IF(0=LEN(ReferenceData!$O$63),"",ReferenceData!$O$63),"")</f>
        <v/>
      </c>
      <c r="P63" t="str">
        <f ca="1">IFERROR(IF(0=LEN(ReferenceData!$P$63),"",ReferenceData!$P$63),"")</f>
        <v/>
      </c>
      <c r="Q63" t="str">
        <f ca="1">IFERROR(IF(0=LEN(ReferenceData!$Q$63),"",ReferenceData!$Q$63),"")</f>
        <v/>
      </c>
      <c r="R63" t="str">
        <f ca="1">IFERROR(IF(0=LEN(ReferenceData!$R$63),"",ReferenceData!$R$63),"")</f>
        <v/>
      </c>
      <c r="S63" t="str">
        <f ca="1">IFERROR(IF(0=LEN(ReferenceData!$S$63),"",ReferenceData!$S$63),"")</f>
        <v/>
      </c>
      <c r="T63" t="str">
        <f ca="1">IFERROR(IF(0=LEN(ReferenceData!$T$63),"",ReferenceData!$T$63),"")</f>
        <v/>
      </c>
      <c r="U63" t="str">
        <f ca="1">IFERROR(IF(0=LEN(ReferenceData!$U$63),"",ReferenceData!$U$63),"")</f>
        <v/>
      </c>
      <c r="V63" t="str">
        <f ca="1">IFERROR(IF(0=LEN(ReferenceData!$V$63),"",ReferenceData!$V$63),"")</f>
        <v/>
      </c>
      <c r="W63" t="str">
        <f ca="1">IFERROR(IF(0=LEN(ReferenceData!$W$63),"",ReferenceData!$W$63),"")</f>
        <v/>
      </c>
      <c r="X63" t="str">
        <f ca="1">IFERROR(IF(0=LEN(ReferenceData!$X$63),"",ReferenceData!$X$63),"")</f>
        <v/>
      </c>
      <c r="Y63" t="str">
        <f ca="1">IFERROR(IF(0=LEN(ReferenceData!$Y$63),"",ReferenceData!$Y$63),"")</f>
        <v/>
      </c>
      <c r="Z63" t="str">
        <f ca="1">IFERROR(IF(0=LEN(ReferenceData!$Z$63),"",ReferenceData!$Z$63),"")</f>
        <v/>
      </c>
      <c r="AA63" t="str">
        <f ca="1">IFERROR(IF(0=LEN(ReferenceData!$AA$63),"",ReferenceData!$AA$63),"")</f>
        <v/>
      </c>
      <c r="AB63" t="str">
        <f ca="1">IFERROR(IF(0=LEN(ReferenceData!$AB$63),"",ReferenceData!$AB$63),"")</f>
        <v/>
      </c>
      <c r="AC63" t="str">
        <f ca="1">IFERROR(IF(0=LEN(ReferenceData!$AC$63),"",ReferenceData!$AC$63),"")</f>
        <v/>
      </c>
      <c r="AD63" t="str">
        <f ca="1">IFERROR(IF(0=LEN(ReferenceData!$AD$63),"",ReferenceData!$AD$63),"")</f>
        <v/>
      </c>
      <c r="AE63" t="str">
        <f ca="1">IFERROR(IF(0=LEN(ReferenceData!$AE$63),"",ReferenceData!$AE$63),"")</f>
        <v/>
      </c>
      <c r="AF63" t="str">
        <f ca="1">IFERROR(IF(0=LEN(ReferenceData!$AF$63),"",ReferenceData!$AF$63),"")</f>
        <v/>
      </c>
      <c r="AG63" t="str">
        <f ca="1">IFERROR(IF(0=LEN(ReferenceData!$AG$63),"",ReferenceData!$AG$63),"")</f>
        <v/>
      </c>
      <c r="AH63" t="str">
        <f ca="1">IFERROR(IF(0=LEN(ReferenceData!$AH$63),"",ReferenceData!$AH$63),"")</f>
        <v/>
      </c>
      <c r="AI63" t="str">
        <f ca="1">IFERROR(IF(0=LEN(ReferenceData!$AI$63),"",ReferenceData!$AI$63),"")</f>
        <v/>
      </c>
      <c r="AJ63" t="str">
        <f ca="1">IFERROR(IF(0=LEN(ReferenceData!$AJ$63),"",ReferenceData!$AJ$63),"")</f>
        <v/>
      </c>
      <c r="AK63" t="str">
        <f ca="1">IFERROR(IF(0=LEN(ReferenceData!$AK$63),"",ReferenceData!$AK$63),"")</f>
        <v/>
      </c>
      <c r="AL63" t="str">
        <f ca="1">IFERROR(IF(0=LEN(ReferenceData!$AL$63),"",ReferenceData!$AL$63),"")</f>
        <v/>
      </c>
      <c r="AM63" t="str">
        <f ca="1">IFERROR(IF(0=LEN(ReferenceData!$AM$63),"",ReferenceData!$AM$63),"")</f>
        <v/>
      </c>
      <c r="AN63" t="str">
        <f ca="1">IFERROR(IF(0=LEN(ReferenceData!$AN$63),"",ReferenceData!$AN$63),"")</f>
        <v/>
      </c>
      <c r="AO63" t="str">
        <f ca="1">IFERROR(IF(0=LEN(ReferenceData!$AO$63),"",ReferenceData!$AO$63),"")</f>
        <v/>
      </c>
      <c r="AP63" t="str">
        <f ca="1">IFERROR(IF(0=LEN(ReferenceData!$AP$63),"",ReferenceData!$AP$63),"")</f>
        <v/>
      </c>
      <c r="AQ63" t="str">
        <f ca="1">IFERROR(IF(0=LEN(ReferenceData!$AQ$63),"",ReferenceData!$AQ$63),"")</f>
        <v/>
      </c>
      <c r="AR63" t="str">
        <f ca="1">IFERROR(IF(0=LEN(ReferenceData!$AR$63),"",ReferenceData!$AR$63),"")</f>
        <v/>
      </c>
      <c r="AS63" t="str">
        <f ca="1">IFERROR(IF(0=LEN(ReferenceData!$AS$63),"",ReferenceData!$AS$63),"")</f>
        <v/>
      </c>
      <c r="AT63" t="str">
        <f ca="1">IFERROR(IF(0=LEN(ReferenceData!$AT$63),"",ReferenceData!$AT$63),"")</f>
        <v/>
      </c>
      <c r="AU63" t="str">
        <f ca="1">IFERROR(IF(0=LEN(ReferenceData!$AU$63),"",ReferenceData!$AU$63),"")</f>
        <v/>
      </c>
      <c r="AV63" t="str">
        <f ca="1">IFERROR(IF(0=LEN(ReferenceData!$AV$63),"",ReferenceData!$AV$63),"")</f>
        <v/>
      </c>
      <c r="AW63" t="str">
        <f ca="1">IFERROR(IF(0=LEN(ReferenceData!$AW$63),"",ReferenceData!$AW$63),"")</f>
        <v/>
      </c>
      <c r="AX63" t="str">
        <f ca="1">IFERROR(IF(0=LEN(ReferenceData!$AX$63),"",ReferenceData!$AX$63),"")</f>
        <v/>
      </c>
      <c r="AY63" t="str">
        <f ca="1">IFERROR(IF(0=LEN(ReferenceData!$AY$63),"",ReferenceData!$AY$63),"")</f>
        <v/>
      </c>
      <c r="AZ63" t="str">
        <f ca="1">IFERROR(IF(0=LEN(ReferenceData!$AZ$63),"",ReferenceData!$AZ$63),"")</f>
        <v/>
      </c>
      <c r="BA63" t="str">
        <f ca="1">IFERROR(IF(0=LEN(ReferenceData!$BA$63),"",ReferenceData!$BA$63),"")</f>
        <v/>
      </c>
      <c r="BB63" t="str">
        <f ca="1">IFERROR(IF(0=LEN(ReferenceData!$BB$63),"",ReferenceData!$BB$63),"")</f>
        <v/>
      </c>
      <c r="BC63" t="str">
        <f ca="1">IFERROR(IF(0=LEN(ReferenceData!$BC$63),"",ReferenceData!$BC$63),"")</f>
        <v/>
      </c>
      <c r="BD63" t="str">
        <f ca="1">IFERROR(IF(0=LEN(ReferenceData!$BD$63),"",ReferenceData!$BD$63),"")</f>
        <v/>
      </c>
      <c r="BE63" t="str">
        <f ca="1">IFERROR(IF(0=LEN(ReferenceData!$BE$63),"",ReferenceData!$BE$63),"")</f>
        <v/>
      </c>
      <c r="BF63" t="str">
        <f ca="1">IFERROR(IF(0=LEN(ReferenceData!$BF$63),"",ReferenceData!$BF$63),"")</f>
        <v/>
      </c>
      <c r="BG63" t="str">
        <f ca="1">IFERROR(IF(0=LEN(ReferenceData!$BG$63),"",ReferenceData!$BG$63),"")</f>
        <v/>
      </c>
      <c r="BH63" t="str">
        <f ca="1">IFERROR(IF(0=LEN(ReferenceData!$BH$63),"",ReferenceData!$BH$63),"")</f>
        <v/>
      </c>
      <c r="BI63" t="str">
        <f ca="1">IFERROR(IF(0=LEN(ReferenceData!$BI$63),"",ReferenceData!$BI$63),"")</f>
        <v/>
      </c>
      <c r="BJ63" t="str">
        <f ca="1">IFERROR(IF(0=LEN(ReferenceData!$BJ$63),"",ReferenceData!$BJ$63),"")</f>
        <v/>
      </c>
      <c r="BK63" t="str">
        <f ca="1">IFERROR(IF(0=LEN(ReferenceData!$BK$63),"",ReferenceData!$BK$63),"")</f>
        <v/>
      </c>
      <c r="BL63" t="str">
        <f ca="1">IFERROR(IF(0=LEN(ReferenceData!$BL$63),"",ReferenceData!$BL$63),"")</f>
        <v/>
      </c>
      <c r="BM63" t="str">
        <f ca="1">IFERROR(IF(0=LEN(ReferenceData!$BM$63),"",ReferenceData!$BM$63),"")</f>
        <v/>
      </c>
    </row>
    <row r="64" spans="1:65">
      <c r="A64" t="str">
        <f>IFERROR(IF(0=LEN(ReferenceData!$A$64),"",ReferenceData!$A$64),"")</f>
        <v xml:space="preserve">    East West Bancorp Inc</v>
      </c>
      <c r="B64" t="str">
        <f>IFERROR(IF(0=LEN(ReferenceData!$B$64),"",ReferenceData!$B$64),"")</f>
        <v>EWBC US Equity</v>
      </c>
      <c r="C64" t="str">
        <f>IFERROR(IF(0=LEN(ReferenceData!$C$64),"",ReferenceData!$C$64),"")</f>
        <v>BS962</v>
      </c>
      <c r="D64" t="str">
        <f>IFERROR(IF(0=LEN(ReferenceData!$D$64),"",ReferenceData!$D$64),"")</f>
        <v>BS_RSD_MTG_SRVC_PORTFOLIO</v>
      </c>
      <c r="E64" t="str">
        <f>IFERROR(IF(0=LEN(ReferenceData!$E$64),"",ReferenceData!$E$64),"")</f>
        <v>Dynamic</v>
      </c>
      <c r="F64" t="str">
        <f ca="1">IFERROR(IF(0=LEN(ReferenceData!$F$64),"",ReferenceData!$F$64),"")</f>
        <v/>
      </c>
      <c r="G64" t="str">
        <f ca="1">IFERROR(IF(0=LEN(ReferenceData!$G$64),"",ReferenceData!$G$64),"")</f>
        <v/>
      </c>
      <c r="H64" t="str">
        <f ca="1">IFERROR(IF(0=LEN(ReferenceData!$H$64),"",ReferenceData!$H$64),"")</f>
        <v/>
      </c>
      <c r="I64" t="str">
        <f ca="1">IFERROR(IF(0=LEN(ReferenceData!$I$64),"",ReferenceData!$I$64),"")</f>
        <v/>
      </c>
      <c r="J64" t="str">
        <f ca="1">IFERROR(IF(0=LEN(ReferenceData!$J$64),"",ReferenceData!$J$64),"")</f>
        <v/>
      </c>
      <c r="K64" t="str">
        <f ca="1">IFERROR(IF(0=LEN(ReferenceData!$K$64),"",ReferenceData!$K$64),"")</f>
        <v/>
      </c>
      <c r="L64" t="str">
        <f ca="1">IFERROR(IF(0=LEN(ReferenceData!$L$64),"",ReferenceData!$L$64),"")</f>
        <v/>
      </c>
      <c r="M64" t="str">
        <f ca="1">IFERROR(IF(0=LEN(ReferenceData!$M$64),"",ReferenceData!$M$64),"")</f>
        <v/>
      </c>
      <c r="N64" t="str">
        <f ca="1">IFERROR(IF(0=LEN(ReferenceData!$N$64),"",ReferenceData!$N$64),"")</f>
        <v/>
      </c>
      <c r="O64" t="str">
        <f ca="1">IFERROR(IF(0=LEN(ReferenceData!$O$64),"",ReferenceData!$O$64),"")</f>
        <v/>
      </c>
      <c r="P64" t="str">
        <f ca="1">IFERROR(IF(0=LEN(ReferenceData!$P$64),"",ReferenceData!$P$64),"")</f>
        <v/>
      </c>
      <c r="Q64" t="str">
        <f ca="1">IFERROR(IF(0=LEN(ReferenceData!$Q$64),"",ReferenceData!$Q$64),"")</f>
        <v/>
      </c>
      <c r="R64" t="str">
        <f ca="1">IFERROR(IF(0=LEN(ReferenceData!$R$64),"",ReferenceData!$R$64),"")</f>
        <v/>
      </c>
      <c r="S64" t="str">
        <f ca="1">IFERROR(IF(0=LEN(ReferenceData!$S$64),"",ReferenceData!$S$64),"")</f>
        <v/>
      </c>
      <c r="T64" t="str">
        <f ca="1">IFERROR(IF(0=LEN(ReferenceData!$T$64),"",ReferenceData!$T$64),"")</f>
        <v/>
      </c>
      <c r="U64" t="str">
        <f ca="1">IFERROR(IF(0=LEN(ReferenceData!$U$64),"",ReferenceData!$U$64),"")</f>
        <v/>
      </c>
      <c r="V64" t="str">
        <f ca="1">IFERROR(IF(0=LEN(ReferenceData!$V$64),"",ReferenceData!$V$64),"")</f>
        <v/>
      </c>
      <c r="W64" t="str">
        <f ca="1">IFERROR(IF(0=LEN(ReferenceData!$W$64),"",ReferenceData!$W$64),"")</f>
        <v/>
      </c>
      <c r="X64" t="str">
        <f ca="1">IFERROR(IF(0=LEN(ReferenceData!$X$64),"",ReferenceData!$X$64),"")</f>
        <v/>
      </c>
      <c r="Y64" t="str">
        <f ca="1">IFERROR(IF(0=LEN(ReferenceData!$Y$64),"",ReferenceData!$Y$64),"")</f>
        <v/>
      </c>
      <c r="Z64" t="str">
        <f ca="1">IFERROR(IF(0=LEN(ReferenceData!$Z$64),"",ReferenceData!$Z$64),"")</f>
        <v/>
      </c>
      <c r="AA64" t="str">
        <f ca="1">IFERROR(IF(0=LEN(ReferenceData!$AA$64),"",ReferenceData!$AA$64),"")</f>
        <v/>
      </c>
      <c r="AB64" t="str">
        <f ca="1">IFERROR(IF(0=LEN(ReferenceData!$AB$64),"",ReferenceData!$AB$64),"")</f>
        <v/>
      </c>
      <c r="AC64" t="str">
        <f ca="1">IFERROR(IF(0=LEN(ReferenceData!$AC$64),"",ReferenceData!$AC$64),"")</f>
        <v/>
      </c>
      <c r="AD64" t="str">
        <f ca="1">IFERROR(IF(0=LEN(ReferenceData!$AD$64),"",ReferenceData!$AD$64),"")</f>
        <v/>
      </c>
      <c r="AE64" t="str">
        <f ca="1">IFERROR(IF(0=LEN(ReferenceData!$AE$64),"",ReferenceData!$AE$64),"")</f>
        <v/>
      </c>
      <c r="AF64" t="str">
        <f ca="1">IFERROR(IF(0=LEN(ReferenceData!$AF$64),"",ReferenceData!$AF$64),"")</f>
        <v/>
      </c>
      <c r="AG64" t="str">
        <f ca="1">IFERROR(IF(0=LEN(ReferenceData!$AG$64),"",ReferenceData!$AG$64),"")</f>
        <v/>
      </c>
      <c r="AH64" t="str">
        <f ca="1">IFERROR(IF(0=LEN(ReferenceData!$AH$64),"",ReferenceData!$AH$64),"")</f>
        <v/>
      </c>
      <c r="AI64" t="str">
        <f ca="1">IFERROR(IF(0=LEN(ReferenceData!$AI$64),"",ReferenceData!$AI$64),"")</f>
        <v/>
      </c>
      <c r="AJ64" t="str">
        <f ca="1">IFERROR(IF(0=LEN(ReferenceData!$AJ$64),"",ReferenceData!$AJ$64),"")</f>
        <v/>
      </c>
      <c r="AK64" t="str">
        <f ca="1">IFERROR(IF(0=LEN(ReferenceData!$AK$64),"",ReferenceData!$AK$64),"")</f>
        <v/>
      </c>
      <c r="AL64" t="str">
        <f ca="1">IFERROR(IF(0=LEN(ReferenceData!$AL$64),"",ReferenceData!$AL$64),"")</f>
        <v/>
      </c>
      <c r="AM64" t="str">
        <f ca="1">IFERROR(IF(0=LEN(ReferenceData!$AM$64),"",ReferenceData!$AM$64),"")</f>
        <v/>
      </c>
      <c r="AN64" t="str">
        <f ca="1">IFERROR(IF(0=LEN(ReferenceData!$AN$64),"",ReferenceData!$AN$64),"")</f>
        <v/>
      </c>
      <c r="AO64" t="str">
        <f ca="1">IFERROR(IF(0=LEN(ReferenceData!$AO$64),"",ReferenceData!$AO$64),"")</f>
        <v/>
      </c>
      <c r="AP64" t="str">
        <f ca="1">IFERROR(IF(0=LEN(ReferenceData!$AP$64),"",ReferenceData!$AP$64),"")</f>
        <v/>
      </c>
      <c r="AQ64" t="str">
        <f ca="1">IFERROR(IF(0=LEN(ReferenceData!$AQ$64),"",ReferenceData!$AQ$64),"")</f>
        <v/>
      </c>
      <c r="AR64" t="str">
        <f ca="1">IFERROR(IF(0=LEN(ReferenceData!$AR$64),"",ReferenceData!$AR$64),"")</f>
        <v/>
      </c>
      <c r="AS64" t="str">
        <f ca="1">IFERROR(IF(0=LEN(ReferenceData!$AS$64),"",ReferenceData!$AS$64),"")</f>
        <v/>
      </c>
      <c r="AT64" t="str">
        <f ca="1">IFERROR(IF(0=LEN(ReferenceData!$AT$64),"",ReferenceData!$AT$64),"")</f>
        <v/>
      </c>
      <c r="AU64" t="str">
        <f ca="1">IFERROR(IF(0=LEN(ReferenceData!$AU$64),"",ReferenceData!$AU$64),"")</f>
        <v/>
      </c>
      <c r="AV64" t="str">
        <f ca="1">IFERROR(IF(0=LEN(ReferenceData!$AV$64),"",ReferenceData!$AV$64),"")</f>
        <v/>
      </c>
      <c r="AW64" t="str">
        <f ca="1">IFERROR(IF(0=LEN(ReferenceData!$AW$64),"",ReferenceData!$AW$64),"")</f>
        <v/>
      </c>
      <c r="AX64" t="str">
        <f ca="1">IFERROR(IF(0=LEN(ReferenceData!$AX$64),"",ReferenceData!$AX$64),"")</f>
        <v/>
      </c>
      <c r="AY64" t="str">
        <f ca="1">IFERROR(IF(0=LEN(ReferenceData!$AY$64),"",ReferenceData!$AY$64),"")</f>
        <v/>
      </c>
      <c r="AZ64" t="str">
        <f ca="1">IFERROR(IF(0=LEN(ReferenceData!$AZ$64),"",ReferenceData!$AZ$64),"")</f>
        <v/>
      </c>
      <c r="BA64" t="str">
        <f ca="1">IFERROR(IF(0=LEN(ReferenceData!$BA$64),"",ReferenceData!$BA$64),"")</f>
        <v/>
      </c>
      <c r="BB64" t="str">
        <f ca="1">IFERROR(IF(0=LEN(ReferenceData!$BB$64),"",ReferenceData!$BB$64),"")</f>
        <v/>
      </c>
      <c r="BC64" t="str">
        <f ca="1">IFERROR(IF(0=LEN(ReferenceData!$BC$64),"",ReferenceData!$BC$64),"")</f>
        <v/>
      </c>
      <c r="BD64" t="str">
        <f ca="1">IFERROR(IF(0=LEN(ReferenceData!$BD$64),"",ReferenceData!$BD$64),"")</f>
        <v/>
      </c>
      <c r="BE64" t="str">
        <f ca="1">IFERROR(IF(0=LEN(ReferenceData!$BE$64),"",ReferenceData!$BE$64),"")</f>
        <v/>
      </c>
      <c r="BF64" t="str">
        <f ca="1">IFERROR(IF(0=LEN(ReferenceData!$BF$64),"",ReferenceData!$BF$64),"")</f>
        <v/>
      </c>
      <c r="BG64" t="str">
        <f ca="1">IFERROR(IF(0=LEN(ReferenceData!$BG$64),"",ReferenceData!$BG$64),"")</f>
        <v/>
      </c>
      <c r="BH64" t="str">
        <f ca="1">IFERROR(IF(0=LEN(ReferenceData!$BH$64),"",ReferenceData!$BH$64),"")</f>
        <v/>
      </c>
      <c r="BI64" t="str">
        <f ca="1">IFERROR(IF(0=LEN(ReferenceData!$BI$64),"",ReferenceData!$BI$64),"")</f>
        <v/>
      </c>
      <c r="BJ64" t="str">
        <f ca="1">IFERROR(IF(0=LEN(ReferenceData!$BJ$64),"",ReferenceData!$BJ$64),"")</f>
        <v/>
      </c>
      <c r="BK64" t="str">
        <f ca="1">IFERROR(IF(0=LEN(ReferenceData!$BK$64),"",ReferenceData!$BK$64),"")</f>
        <v/>
      </c>
      <c r="BL64" t="str">
        <f ca="1">IFERROR(IF(0=LEN(ReferenceData!$BL$64),"",ReferenceData!$BL$64),"")</f>
        <v/>
      </c>
      <c r="BM64" t="str">
        <f ca="1">IFERROR(IF(0=LEN(ReferenceData!$BM$64),"",ReferenceData!$BM$64),"")</f>
        <v/>
      </c>
    </row>
    <row r="65" spans="1:65">
      <c r="A65" t="str">
        <f>IFERROR(IF(0=LEN(ReferenceData!$A$65),"",ReferenceData!$A$65),"")</f>
        <v xml:space="preserve">    First Horizon Corp</v>
      </c>
      <c r="B65" t="str">
        <f>IFERROR(IF(0=LEN(ReferenceData!$B$65),"",ReferenceData!$B$65),"")</f>
        <v>FHN US Equity</v>
      </c>
      <c r="C65" t="str">
        <f>IFERROR(IF(0=LEN(ReferenceData!$C$65),"",ReferenceData!$C$65),"")</f>
        <v>BS962</v>
      </c>
      <c r="D65" t="str">
        <f>IFERROR(IF(0=LEN(ReferenceData!$D$65),"",ReferenceData!$D$65),"")</f>
        <v>BS_RSD_MTG_SRVC_PORTFOLIO</v>
      </c>
      <c r="E65" t="str">
        <f>IFERROR(IF(0=LEN(ReferenceData!$E$65),"",ReferenceData!$E$65),"")</f>
        <v>Dynamic</v>
      </c>
      <c r="F65">
        <f ca="1">IFERROR(IF(0=LEN(ReferenceData!$F$65),"",ReferenceData!$F$65),"")</f>
        <v>0</v>
      </c>
      <c r="G65" t="str">
        <f ca="1">IFERROR(IF(0=LEN(ReferenceData!$G$65),"",ReferenceData!$G$65),"")</f>
        <v/>
      </c>
      <c r="H65" t="str">
        <f ca="1">IFERROR(IF(0=LEN(ReferenceData!$H$65),"",ReferenceData!$H$65),"")</f>
        <v/>
      </c>
      <c r="I65" t="str">
        <f ca="1">IFERROR(IF(0=LEN(ReferenceData!$I$65),"",ReferenceData!$I$65),"")</f>
        <v/>
      </c>
      <c r="J65">
        <f ca="1">IFERROR(IF(0=LEN(ReferenceData!$J$65),"",ReferenceData!$J$65),"")</f>
        <v>0</v>
      </c>
      <c r="K65" t="str">
        <f ca="1">IFERROR(IF(0=LEN(ReferenceData!$K$65),"",ReferenceData!$K$65),"")</f>
        <v/>
      </c>
      <c r="L65" t="str">
        <f ca="1">IFERROR(IF(0=LEN(ReferenceData!$L$65),"",ReferenceData!$L$65),"")</f>
        <v/>
      </c>
      <c r="M65" t="str">
        <f ca="1">IFERROR(IF(0=LEN(ReferenceData!$M$65),"",ReferenceData!$M$65),"")</f>
        <v/>
      </c>
      <c r="N65">
        <f ca="1">IFERROR(IF(0=LEN(ReferenceData!$N$65),"",ReferenceData!$N$65),"")</f>
        <v>0</v>
      </c>
      <c r="O65" t="str">
        <f ca="1">IFERROR(IF(0=LEN(ReferenceData!$O$65),"",ReferenceData!$O$65),"")</f>
        <v/>
      </c>
      <c r="P65" t="str">
        <f ca="1">IFERROR(IF(0=LEN(ReferenceData!$P$65),"",ReferenceData!$P$65),"")</f>
        <v/>
      </c>
      <c r="Q65" t="str">
        <f ca="1">IFERROR(IF(0=LEN(ReferenceData!$Q$65),"",ReferenceData!$Q$65),"")</f>
        <v/>
      </c>
      <c r="R65">
        <f ca="1">IFERROR(IF(0=LEN(ReferenceData!$R$65),"",ReferenceData!$R$65),"")</f>
        <v>0</v>
      </c>
      <c r="S65" t="str">
        <f ca="1">IFERROR(IF(0=LEN(ReferenceData!$S$65),"",ReferenceData!$S$65),"")</f>
        <v/>
      </c>
      <c r="T65" t="str">
        <f ca="1">IFERROR(IF(0=LEN(ReferenceData!$T$65),"",ReferenceData!$T$65),"")</f>
        <v/>
      </c>
      <c r="U65" t="str">
        <f ca="1">IFERROR(IF(0=LEN(ReferenceData!$U$65),"",ReferenceData!$U$65),"")</f>
        <v/>
      </c>
      <c r="V65">
        <f ca="1">IFERROR(IF(0=LEN(ReferenceData!$V$65),"",ReferenceData!$V$65),"")</f>
        <v>0</v>
      </c>
      <c r="W65" t="str">
        <f ca="1">IFERROR(IF(0=LEN(ReferenceData!$W$65),"",ReferenceData!$W$65),"")</f>
        <v/>
      </c>
      <c r="X65" t="str">
        <f ca="1">IFERROR(IF(0=LEN(ReferenceData!$X$65),"",ReferenceData!$X$65),"")</f>
        <v/>
      </c>
      <c r="Y65" t="str">
        <f ca="1">IFERROR(IF(0=LEN(ReferenceData!$Y$65),"",ReferenceData!$Y$65),"")</f>
        <v/>
      </c>
      <c r="Z65">
        <f ca="1">IFERROR(IF(0=LEN(ReferenceData!$Z$65),"",ReferenceData!$Z$65),"")</f>
        <v>0</v>
      </c>
      <c r="AA65" t="str">
        <f ca="1">IFERROR(IF(0=LEN(ReferenceData!$AA$65),"",ReferenceData!$AA$65),"")</f>
        <v/>
      </c>
      <c r="AB65" t="str">
        <f ca="1">IFERROR(IF(0=LEN(ReferenceData!$AB$65),"",ReferenceData!$AB$65),"")</f>
        <v/>
      </c>
      <c r="AC65" t="str">
        <f ca="1">IFERROR(IF(0=LEN(ReferenceData!$AC$65),"",ReferenceData!$AC$65),"")</f>
        <v/>
      </c>
      <c r="AD65">
        <f ca="1">IFERROR(IF(0=LEN(ReferenceData!$AD$65),"",ReferenceData!$AD$65),"")</f>
        <v>0</v>
      </c>
      <c r="AE65" t="str">
        <f ca="1">IFERROR(IF(0=LEN(ReferenceData!$AE$65),"",ReferenceData!$AE$65),"")</f>
        <v/>
      </c>
      <c r="AF65" t="str">
        <f ca="1">IFERROR(IF(0=LEN(ReferenceData!$AF$65),"",ReferenceData!$AF$65),"")</f>
        <v/>
      </c>
      <c r="AG65" t="str">
        <f ca="1">IFERROR(IF(0=LEN(ReferenceData!$AG$65),"",ReferenceData!$AG$65),"")</f>
        <v/>
      </c>
      <c r="AH65">
        <f ca="1">IFERROR(IF(0=LEN(ReferenceData!$AH$65),"",ReferenceData!$AH$65),"")</f>
        <v>0</v>
      </c>
      <c r="AI65" t="str">
        <f ca="1">IFERROR(IF(0=LEN(ReferenceData!$AI$65),"",ReferenceData!$AI$65),"")</f>
        <v/>
      </c>
      <c r="AJ65" t="str">
        <f ca="1">IFERROR(IF(0=LEN(ReferenceData!$AJ$65),"",ReferenceData!$AJ$65),"")</f>
        <v/>
      </c>
      <c r="AK65" t="str">
        <f ca="1">IFERROR(IF(0=LEN(ReferenceData!$AK$65),"",ReferenceData!$AK$65),"")</f>
        <v/>
      </c>
      <c r="AL65">
        <f ca="1">IFERROR(IF(0=LEN(ReferenceData!$AL$65),"",ReferenceData!$AL$65),"")</f>
        <v>0</v>
      </c>
      <c r="AM65" t="str">
        <f ca="1">IFERROR(IF(0=LEN(ReferenceData!$AM$65),"",ReferenceData!$AM$65),"")</f>
        <v/>
      </c>
      <c r="AN65" t="str">
        <f ca="1">IFERROR(IF(0=LEN(ReferenceData!$AN$65),"",ReferenceData!$AN$65),"")</f>
        <v/>
      </c>
      <c r="AO65" t="str">
        <f ca="1">IFERROR(IF(0=LEN(ReferenceData!$AO$65),"",ReferenceData!$AO$65),"")</f>
        <v/>
      </c>
      <c r="AP65">
        <f ca="1">IFERROR(IF(0=LEN(ReferenceData!$AP$65),"",ReferenceData!$AP$65),"")</f>
        <v>0.83699999999999997</v>
      </c>
      <c r="AQ65">
        <f ca="1">IFERROR(IF(0=LEN(ReferenceData!$AQ$65),"",ReferenceData!$AQ$65),"")</f>
        <v>879</v>
      </c>
      <c r="AR65">
        <f ca="1">IFERROR(IF(0=LEN(ReferenceData!$AR$65),"",ReferenceData!$AR$65),"")</f>
        <v>0.92200000000000004</v>
      </c>
      <c r="AS65">
        <f ca="1">IFERROR(IF(0=LEN(ReferenceData!$AS$65),"",ReferenceData!$AS$65),"")</f>
        <v>966</v>
      </c>
      <c r="AT65">
        <f ca="1">IFERROR(IF(0=LEN(ReferenceData!$AT$65),"",ReferenceData!$AT$65),"")</f>
        <v>1.0129999999999999</v>
      </c>
      <c r="AU65">
        <f ca="1">IFERROR(IF(0=LEN(ReferenceData!$AU$65),"",ReferenceData!$AU$65),"")</f>
        <v>1090</v>
      </c>
      <c r="AV65">
        <f ca="1">IFERROR(IF(0=LEN(ReferenceData!$AV$65),"",ReferenceData!$AV$65),"")</f>
        <v>1.456</v>
      </c>
      <c r="AW65">
        <f ca="1">IFERROR(IF(0=LEN(ReferenceData!$AW$65),"",ReferenceData!$AW$65),"")</f>
        <v>1679</v>
      </c>
      <c r="AX65">
        <f ca="1">IFERROR(IF(0=LEN(ReferenceData!$AX$65),"",ReferenceData!$AX$65),"")</f>
        <v>8.5120000000000005</v>
      </c>
      <c r="AY65">
        <f ca="1">IFERROR(IF(0=LEN(ReferenceData!$AY$65),"",ReferenceData!$AY$65),"")</f>
        <v>13784</v>
      </c>
      <c r="AZ65">
        <f ca="1">IFERROR(IF(0=LEN(ReferenceData!$AZ$65),"",ReferenceData!$AZ$65),"")</f>
        <v>16025</v>
      </c>
      <c r="BA65">
        <f ca="1">IFERROR(IF(0=LEN(ReferenceData!$BA$65),"",ReferenceData!$BA$65),"")</f>
        <v>17055</v>
      </c>
      <c r="BB65">
        <f ca="1">IFERROR(IF(0=LEN(ReferenceData!$BB$65),"",ReferenceData!$BB$65),"")</f>
        <v>16487</v>
      </c>
      <c r="BC65">
        <f ca="1">IFERROR(IF(0=LEN(ReferenceData!$BC$65),"",ReferenceData!$BC$65),"")</f>
        <v>17536</v>
      </c>
      <c r="BD65">
        <f ca="1">IFERROR(IF(0=LEN(ReferenceData!$BD$65),"",ReferenceData!$BD$65),"")</f>
        <v>20331</v>
      </c>
      <c r="BE65">
        <f ca="1">IFERROR(IF(0=LEN(ReferenceData!$BE$65),"",ReferenceData!$BE$65),"")</f>
        <v>21610</v>
      </c>
      <c r="BF65">
        <f ca="1">IFERROR(IF(0=LEN(ReferenceData!$BF$65),"",ReferenceData!$BF$65),"")</f>
        <v>21076.799999999999</v>
      </c>
      <c r="BG65">
        <f ca="1">IFERROR(IF(0=LEN(ReferenceData!$BG$65),"",ReferenceData!$BG$65),"")</f>
        <v>23650</v>
      </c>
      <c r="BH65">
        <f ca="1">IFERROR(IF(0=LEN(ReferenceData!$BH$65),"",ReferenceData!$BH$65),"")</f>
        <v>25223</v>
      </c>
      <c r="BI65">
        <f ca="1">IFERROR(IF(0=LEN(ReferenceData!$BI$65),"",ReferenceData!$BI$65),"")</f>
        <v>26452</v>
      </c>
      <c r="BJ65">
        <f ca="1">IFERROR(IF(0=LEN(ReferenceData!$BJ$65),"",ReferenceData!$BJ$65),"")</f>
        <v>27283.8</v>
      </c>
      <c r="BK65">
        <f ca="1">IFERROR(IF(0=LEN(ReferenceData!$BK$65),"",ReferenceData!$BK$65),"")</f>
        <v>29723</v>
      </c>
      <c r="BL65">
        <f ca="1">IFERROR(IF(0=LEN(ReferenceData!$BL$65),"",ReferenceData!$BL$65),"")</f>
        <v>31907</v>
      </c>
      <c r="BM65" t="str">
        <f ca="1">IFERROR(IF(0=LEN(ReferenceData!$BM$65),"",ReferenceData!$BM$65),"")</f>
        <v/>
      </c>
    </row>
    <row r="66" spans="1:65">
      <c r="A66" t="str">
        <f>IFERROR(IF(0=LEN(ReferenceData!$A$66),"",ReferenceData!$A$66),"")</f>
        <v xml:space="preserve">    First Republic Bank/CA</v>
      </c>
      <c r="B66" t="str">
        <f>IFERROR(IF(0=LEN(ReferenceData!$B$66),"",ReferenceData!$B$66),"")</f>
        <v>FRCB US Equity</v>
      </c>
      <c r="C66" t="str">
        <f>IFERROR(IF(0=LEN(ReferenceData!$C$66),"",ReferenceData!$C$66),"")</f>
        <v>BS962</v>
      </c>
      <c r="D66" t="str">
        <f>IFERROR(IF(0=LEN(ReferenceData!$D$66),"",ReferenceData!$D$66),"")</f>
        <v>BS_RSD_MTG_SRVC_PORTFOLIO</v>
      </c>
      <c r="E66" t="str">
        <f>IFERROR(IF(0=LEN(ReferenceData!$E$66),"",ReferenceData!$E$66),"")</f>
        <v>Dynamic</v>
      </c>
      <c r="F66" t="str">
        <f ca="1">IFERROR(IF(0=LEN(ReferenceData!$F$66),"",ReferenceData!$F$66),"")</f>
        <v/>
      </c>
      <c r="G66" t="str">
        <f ca="1">IFERROR(IF(0=LEN(ReferenceData!$G$66),"",ReferenceData!$G$66),"")</f>
        <v/>
      </c>
      <c r="H66" t="str">
        <f ca="1">IFERROR(IF(0=LEN(ReferenceData!$H$66),"",ReferenceData!$H$66),"")</f>
        <v/>
      </c>
      <c r="I66" t="str">
        <f ca="1">IFERROR(IF(0=LEN(ReferenceData!$I$66),"",ReferenceData!$I$66),"")</f>
        <v/>
      </c>
      <c r="J66" t="str">
        <f ca="1">IFERROR(IF(0=LEN(ReferenceData!$J$66),"",ReferenceData!$J$66),"")</f>
        <v/>
      </c>
      <c r="K66" t="str">
        <f ca="1">IFERROR(IF(0=LEN(ReferenceData!$K$66),"",ReferenceData!$K$66),"")</f>
        <v/>
      </c>
      <c r="L66" t="str">
        <f ca="1">IFERROR(IF(0=LEN(ReferenceData!$L$66),"",ReferenceData!$L$66),"")</f>
        <v/>
      </c>
      <c r="M66" t="str">
        <f ca="1">IFERROR(IF(0=LEN(ReferenceData!$M$66),"",ReferenceData!$M$66),"")</f>
        <v/>
      </c>
      <c r="N66" t="str">
        <f ca="1">IFERROR(IF(0=LEN(ReferenceData!$N$66),"",ReferenceData!$N$66),"")</f>
        <v/>
      </c>
      <c r="O66" t="str">
        <f ca="1">IFERROR(IF(0=LEN(ReferenceData!$O$66),"",ReferenceData!$O$66),"")</f>
        <v/>
      </c>
      <c r="P66" t="str">
        <f ca="1">IFERROR(IF(0=LEN(ReferenceData!$P$66),"",ReferenceData!$P$66),"")</f>
        <v/>
      </c>
      <c r="Q66" t="str">
        <f ca="1">IFERROR(IF(0=LEN(ReferenceData!$Q$66),"",ReferenceData!$Q$66),"")</f>
        <v/>
      </c>
      <c r="R66" t="str">
        <f ca="1">IFERROR(IF(0=LEN(ReferenceData!$R$66),"",ReferenceData!$R$66),"")</f>
        <v/>
      </c>
      <c r="S66" t="str">
        <f ca="1">IFERROR(IF(0=LEN(ReferenceData!$S$66),"",ReferenceData!$S$66),"")</f>
        <v/>
      </c>
      <c r="T66" t="str">
        <f ca="1">IFERROR(IF(0=LEN(ReferenceData!$T$66),"",ReferenceData!$T$66),"")</f>
        <v/>
      </c>
      <c r="U66" t="str">
        <f ca="1">IFERROR(IF(0=LEN(ReferenceData!$U$66),"",ReferenceData!$U$66),"")</f>
        <v/>
      </c>
      <c r="V66" t="str">
        <f ca="1">IFERROR(IF(0=LEN(ReferenceData!$V$66),"",ReferenceData!$V$66),"")</f>
        <v/>
      </c>
      <c r="W66" t="str">
        <f ca="1">IFERROR(IF(0=LEN(ReferenceData!$W$66),"",ReferenceData!$W$66),"")</f>
        <v/>
      </c>
      <c r="X66" t="str">
        <f ca="1">IFERROR(IF(0=LEN(ReferenceData!$X$66),"",ReferenceData!$X$66),"")</f>
        <v/>
      </c>
      <c r="Y66" t="str">
        <f ca="1">IFERROR(IF(0=LEN(ReferenceData!$Y$66),"",ReferenceData!$Y$66),"")</f>
        <v/>
      </c>
      <c r="Z66" t="str">
        <f ca="1">IFERROR(IF(0=LEN(ReferenceData!$Z$66),"",ReferenceData!$Z$66),"")</f>
        <v/>
      </c>
      <c r="AA66" t="str">
        <f ca="1">IFERROR(IF(0=LEN(ReferenceData!$AA$66),"",ReferenceData!$AA$66),"")</f>
        <v/>
      </c>
      <c r="AB66" t="str">
        <f ca="1">IFERROR(IF(0=LEN(ReferenceData!$AB$66),"",ReferenceData!$AB$66),"")</f>
        <v/>
      </c>
      <c r="AC66" t="str">
        <f ca="1">IFERROR(IF(0=LEN(ReferenceData!$AC$66),"",ReferenceData!$AC$66),"")</f>
        <v/>
      </c>
      <c r="AD66" t="str">
        <f ca="1">IFERROR(IF(0=LEN(ReferenceData!$AD$66),"",ReferenceData!$AD$66),"")</f>
        <v/>
      </c>
      <c r="AE66" t="str">
        <f ca="1">IFERROR(IF(0=LEN(ReferenceData!$AE$66),"",ReferenceData!$AE$66),"")</f>
        <v/>
      </c>
      <c r="AF66" t="str">
        <f ca="1">IFERROR(IF(0=LEN(ReferenceData!$AF$66),"",ReferenceData!$AF$66),"")</f>
        <v/>
      </c>
      <c r="AG66" t="str">
        <f ca="1">IFERROR(IF(0=LEN(ReferenceData!$AG$66),"",ReferenceData!$AG$66),"")</f>
        <v/>
      </c>
      <c r="AH66" t="str">
        <f ca="1">IFERROR(IF(0=LEN(ReferenceData!$AH$66),"",ReferenceData!$AH$66),"")</f>
        <v/>
      </c>
      <c r="AI66" t="str">
        <f ca="1">IFERROR(IF(0=LEN(ReferenceData!$AI$66),"",ReferenceData!$AI$66),"")</f>
        <v/>
      </c>
      <c r="AJ66" t="str">
        <f ca="1">IFERROR(IF(0=LEN(ReferenceData!$AJ$66),"",ReferenceData!$AJ$66),"")</f>
        <v/>
      </c>
      <c r="AK66" t="str">
        <f ca="1">IFERROR(IF(0=LEN(ReferenceData!$AK$66),"",ReferenceData!$AK$66),"")</f>
        <v/>
      </c>
      <c r="AL66" t="str">
        <f ca="1">IFERROR(IF(0=LEN(ReferenceData!$AL$66),"",ReferenceData!$AL$66),"")</f>
        <v/>
      </c>
      <c r="AM66" t="str">
        <f ca="1">IFERROR(IF(0=LEN(ReferenceData!$AM$66),"",ReferenceData!$AM$66),"")</f>
        <v/>
      </c>
      <c r="AN66" t="str">
        <f ca="1">IFERROR(IF(0=LEN(ReferenceData!$AN$66),"",ReferenceData!$AN$66),"")</f>
        <v/>
      </c>
      <c r="AO66" t="str">
        <f ca="1">IFERROR(IF(0=LEN(ReferenceData!$AO$66),"",ReferenceData!$AO$66),"")</f>
        <v/>
      </c>
      <c r="AP66" t="str">
        <f ca="1">IFERROR(IF(0=LEN(ReferenceData!$AP$66),"",ReferenceData!$AP$66),"")</f>
        <v/>
      </c>
      <c r="AQ66" t="str">
        <f ca="1">IFERROR(IF(0=LEN(ReferenceData!$AQ$66),"",ReferenceData!$AQ$66),"")</f>
        <v/>
      </c>
      <c r="AR66" t="str">
        <f ca="1">IFERROR(IF(0=LEN(ReferenceData!$AR$66),"",ReferenceData!$AR$66),"")</f>
        <v/>
      </c>
      <c r="AS66" t="str">
        <f ca="1">IFERROR(IF(0=LEN(ReferenceData!$AS$66),"",ReferenceData!$AS$66),"")</f>
        <v/>
      </c>
      <c r="AT66" t="str">
        <f ca="1">IFERROR(IF(0=LEN(ReferenceData!$AT$66),"",ReferenceData!$AT$66),"")</f>
        <v/>
      </c>
      <c r="AU66" t="str">
        <f ca="1">IFERROR(IF(0=LEN(ReferenceData!$AU$66),"",ReferenceData!$AU$66),"")</f>
        <v/>
      </c>
      <c r="AV66" t="str">
        <f ca="1">IFERROR(IF(0=LEN(ReferenceData!$AV$66),"",ReferenceData!$AV$66),"")</f>
        <v/>
      </c>
      <c r="AW66" t="str">
        <f ca="1">IFERROR(IF(0=LEN(ReferenceData!$AW$66),"",ReferenceData!$AW$66),"")</f>
        <v/>
      </c>
      <c r="AX66" t="str">
        <f ca="1">IFERROR(IF(0=LEN(ReferenceData!$AX$66),"",ReferenceData!$AX$66),"")</f>
        <v/>
      </c>
      <c r="AY66" t="str">
        <f ca="1">IFERROR(IF(0=LEN(ReferenceData!$AY$66),"",ReferenceData!$AY$66),"")</f>
        <v/>
      </c>
      <c r="AZ66" t="str">
        <f ca="1">IFERROR(IF(0=LEN(ReferenceData!$AZ$66),"",ReferenceData!$AZ$66),"")</f>
        <v/>
      </c>
      <c r="BA66" t="str">
        <f ca="1">IFERROR(IF(0=LEN(ReferenceData!$BA$66),"",ReferenceData!$BA$66),"")</f>
        <v/>
      </c>
      <c r="BB66" t="str">
        <f ca="1">IFERROR(IF(0=LEN(ReferenceData!$BB$66),"",ReferenceData!$BB$66),"")</f>
        <v/>
      </c>
      <c r="BC66" t="str">
        <f ca="1">IFERROR(IF(0=LEN(ReferenceData!$BC$66),"",ReferenceData!$BC$66),"")</f>
        <v/>
      </c>
      <c r="BD66" t="str">
        <f ca="1">IFERROR(IF(0=LEN(ReferenceData!$BD$66),"",ReferenceData!$BD$66),"")</f>
        <v/>
      </c>
      <c r="BE66" t="str">
        <f ca="1">IFERROR(IF(0=LEN(ReferenceData!$BE$66),"",ReferenceData!$BE$66),"")</f>
        <v/>
      </c>
      <c r="BF66" t="str">
        <f ca="1">IFERROR(IF(0=LEN(ReferenceData!$BF$66),"",ReferenceData!$BF$66),"")</f>
        <v/>
      </c>
      <c r="BG66" t="str">
        <f ca="1">IFERROR(IF(0=LEN(ReferenceData!$BG$66),"",ReferenceData!$BG$66),"")</f>
        <v/>
      </c>
      <c r="BH66" t="str">
        <f ca="1">IFERROR(IF(0=LEN(ReferenceData!$BH$66),"",ReferenceData!$BH$66),"")</f>
        <v/>
      </c>
      <c r="BI66" t="str">
        <f ca="1">IFERROR(IF(0=LEN(ReferenceData!$BI$66),"",ReferenceData!$BI$66),"")</f>
        <v/>
      </c>
      <c r="BJ66" t="str">
        <f ca="1">IFERROR(IF(0=LEN(ReferenceData!$BJ$66),"",ReferenceData!$BJ$66),"")</f>
        <v/>
      </c>
      <c r="BK66" t="str">
        <f ca="1">IFERROR(IF(0=LEN(ReferenceData!$BK$66),"",ReferenceData!$BK$66),"")</f>
        <v/>
      </c>
      <c r="BL66" t="str">
        <f ca="1">IFERROR(IF(0=LEN(ReferenceData!$BL$66),"",ReferenceData!$BL$66),"")</f>
        <v/>
      </c>
      <c r="BM66" t="str">
        <f ca="1">IFERROR(IF(0=LEN(ReferenceData!$BM$66),"",ReferenceData!$BM$66),"")</f>
        <v/>
      </c>
    </row>
    <row r="67" spans="1:65">
      <c r="A67" t="str">
        <f>IFERROR(IF(0=LEN(ReferenceData!$A$67),"",ReferenceData!$A$67),"")</f>
        <v xml:space="preserve">    Fifth Third Bancorp</v>
      </c>
      <c r="B67" t="str">
        <f>IFERROR(IF(0=LEN(ReferenceData!$B$67),"",ReferenceData!$B$67),"")</f>
        <v>FITB US Equity</v>
      </c>
      <c r="C67" t="str">
        <f>IFERROR(IF(0=LEN(ReferenceData!$C$67),"",ReferenceData!$C$67),"")</f>
        <v>BS962</v>
      </c>
      <c r="D67" t="str">
        <f>IFERROR(IF(0=LEN(ReferenceData!$D$67),"",ReferenceData!$D$67),"")</f>
        <v>BS_RSD_MTG_SRVC_PORTFOLIO</v>
      </c>
      <c r="E67" t="str">
        <f>IFERROR(IF(0=LEN(ReferenceData!$E$67),"",ReferenceData!$E$67),"")</f>
        <v>Dynamic</v>
      </c>
      <c r="F67">
        <f ca="1">IFERROR(IF(0=LEN(ReferenceData!$F$67),"",ReferenceData!$F$67),"")</f>
        <v>94225</v>
      </c>
      <c r="G67">
        <f ca="1">IFERROR(IF(0=LEN(ReferenceData!$G$67),"",ReferenceData!$G$67),"")</f>
        <v>95808</v>
      </c>
      <c r="H67">
        <f ca="1">IFERROR(IF(0=LEN(ReferenceData!$H$67),"",ReferenceData!$H$67),"")</f>
        <v>97280</v>
      </c>
      <c r="I67">
        <f ca="1">IFERROR(IF(0=LEN(ReferenceData!$I$67),"",ReferenceData!$I$67),"")</f>
        <v>99596</v>
      </c>
      <c r="J67">
        <f ca="1">IFERROR(IF(0=LEN(ReferenceData!$J$67),"",ReferenceData!$J$67),"")</f>
        <v>100842</v>
      </c>
      <c r="K67">
        <f ca="1">IFERROR(IF(0=LEN(ReferenceData!$K$67),"",ReferenceData!$K$67),"")</f>
        <v>101889</v>
      </c>
      <c r="L67">
        <f ca="1">IFERROR(IF(0=LEN(ReferenceData!$L$67),"",ReferenceData!$L$67),"")</f>
        <v>102817</v>
      </c>
      <c r="M67">
        <f ca="1">IFERROR(IF(0=LEN(ReferenceData!$M$67),"",ReferenceData!$M$67),"")</f>
        <v>103399</v>
      </c>
      <c r="N67">
        <f ca="1">IFERROR(IF(0=LEN(ReferenceData!$N$67),"",ReferenceData!$N$67),"")</f>
        <v>103154</v>
      </c>
      <c r="O67">
        <f ca="1">IFERROR(IF(0=LEN(ReferenceData!$O$67),"",ReferenceData!$O$67),"")</f>
        <v>102696</v>
      </c>
      <c r="P67">
        <f ca="1">IFERROR(IF(0=LEN(ReferenceData!$P$67),"",ReferenceData!$P$67),"")</f>
        <v>100519</v>
      </c>
      <c r="Q67">
        <f ca="1">IFERROR(IF(0=LEN(ReferenceData!$Q$67),"",ReferenceData!$Q$67),"")</f>
        <v>97736</v>
      </c>
      <c r="R67">
        <f ca="1">IFERROR(IF(0=LEN(ReferenceData!$R$67),"",ReferenceData!$R$67),"")</f>
        <v>89234</v>
      </c>
      <c r="S67">
        <f ca="1">IFERROR(IF(0=LEN(ReferenceData!$S$67),"",ReferenceData!$S$67),"")</f>
        <v>92700</v>
      </c>
      <c r="T67">
        <f ca="1">IFERROR(IF(0=LEN(ReferenceData!$T$67),"",ReferenceData!$T$67),"")</f>
        <v>93</v>
      </c>
      <c r="U67">
        <f ca="1">IFERROR(IF(0=LEN(ReferenceData!$U$67),"",ReferenceData!$U$67),"")</f>
        <v>65922</v>
      </c>
      <c r="V67">
        <f ca="1">IFERROR(IF(0=LEN(ReferenceData!$V$67),"",ReferenceData!$V$67),"")</f>
        <v>86600</v>
      </c>
      <c r="W67">
        <f ca="1">IFERROR(IF(0=LEN(ReferenceData!$W$67),"",ReferenceData!$W$67),"")</f>
        <v>91400</v>
      </c>
      <c r="X67">
        <f ca="1">IFERROR(IF(0=LEN(ReferenceData!$X$67),"",ReferenceData!$X$67),"")</f>
        <v>95400</v>
      </c>
      <c r="Y67">
        <f ca="1">IFERROR(IF(0=LEN(ReferenceData!$Y$67),"",ReferenceData!$Y$67),"")</f>
        <v>81901</v>
      </c>
      <c r="Z67">
        <f ca="1">IFERROR(IF(0=LEN(ReferenceData!$Z$67),"",ReferenceData!$Z$67),"")</f>
        <v>98400</v>
      </c>
      <c r="AA67">
        <f ca="1">IFERROR(IF(0=LEN(ReferenceData!$AA$67),"",ReferenceData!$AA$67),"")</f>
        <v>82702</v>
      </c>
      <c r="AB67">
        <f ca="1">IFERROR(IF(0=LEN(ReferenceData!$AB$67),"",ReferenceData!$AB$67),"")</f>
        <v>102400</v>
      </c>
      <c r="AC67">
        <f ca="1">IFERROR(IF(0=LEN(ReferenceData!$AC$67),"",ReferenceData!$AC$67),"")</f>
        <v>83900</v>
      </c>
      <c r="AD67">
        <f ca="1">IFERROR(IF(0=LEN(ReferenceData!$AD$67),"",ReferenceData!$AD$67),"")</f>
        <v>79200</v>
      </c>
      <c r="AE67">
        <f ca="1">IFERROR(IF(0=LEN(ReferenceData!$AE$67),"",ReferenceData!$AE$67),"")</f>
        <v>63996</v>
      </c>
      <c r="AF67">
        <f ca="1">IFERROR(IF(0=LEN(ReferenceData!$AF$67),"",ReferenceData!$AF$67),"")</f>
        <v>62200</v>
      </c>
      <c r="AG67">
        <f ca="1">IFERROR(IF(0=LEN(ReferenceData!$AG$67),"",ReferenceData!$AG$67),"")</f>
        <v>77200</v>
      </c>
      <c r="AH67">
        <f ca="1">IFERROR(IF(0=LEN(ReferenceData!$AH$67),"",ReferenceData!$AH$67),"")</f>
        <v>76100</v>
      </c>
      <c r="AI67">
        <f ca="1">IFERROR(IF(0=LEN(ReferenceData!$AI$67),"",ReferenceData!$AI$67),"")</f>
        <v>77100</v>
      </c>
      <c r="AJ67">
        <f ca="1">IFERROR(IF(0=LEN(ReferenceData!$AJ$67),"",ReferenceData!$AJ$67),"")</f>
        <v>78000</v>
      </c>
      <c r="AK67">
        <f ca="1">IFERROR(IF(0=LEN(ReferenceData!$AK$67),"",ReferenceData!$AK$67),"")</f>
        <v>71400</v>
      </c>
      <c r="AL67">
        <f ca="1">IFERROR(IF(0=LEN(ReferenceData!$AL$67),"",ReferenceData!$AL$67),"")</f>
        <v>69300</v>
      </c>
      <c r="AM67">
        <f ca="1">IFERROR(IF(0=LEN(ReferenceData!$AM$67),"",ReferenceData!$AM$67),"")</f>
        <v>70200</v>
      </c>
      <c r="AN67">
        <f ca="1">IFERROR(IF(0=LEN(ReferenceData!$AN$67),"",ReferenceData!$AN$67),"")</f>
        <v>71300</v>
      </c>
      <c r="AO67">
        <f ca="1">IFERROR(IF(0=LEN(ReferenceData!$AO$67),"",ReferenceData!$AO$67),"")</f>
        <v>72300</v>
      </c>
      <c r="AP67">
        <f ca="1">IFERROR(IF(0=LEN(ReferenceData!$AP$67),"",ReferenceData!$AP$67),"")</f>
        <v>73400</v>
      </c>
      <c r="AQ67">
        <f ca="1">IFERROR(IF(0=LEN(ReferenceData!$AQ$67),"",ReferenceData!$AQ$67),"")</f>
        <v>74500</v>
      </c>
      <c r="AR67">
        <f ca="1">IFERROR(IF(0=LEN(ReferenceData!$AR$67),"",ReferenceData!$AR$67),"")</f>
        <v>61727</v>
      </c>
      <c r="AS67">
        <f ca="1">IFERROR(IF(0=LEN(ReferenceData!$AS$67),"",ReferenceData!$AS$67),"")</f>
        <v>77.400000000000006</v>
      </c>
      <c r="AT67">
        <f ca="1">IFERROR(IF(0=LEN(ReferenceData!$AT$67),"",ReferenceData!$AT$67),"")</f>
        <v>79000</v>
      </c>
      <c r="AU67">
        <f ca="1">IFERROR(IF(0=LEN(ReferenceData!$AU$67),"",ReferenceData!$AU$67),"")</f>
        <v>80300</v>
      </c>
      <c r="AV67">
        <f ca="1">IFERROR(IF(0=LEN(ReferenceData!$AV$67),"",ReferenceData!$AV$67),"")</f>
        <v>81300</v>
      </c>
      <c r="AW67">
        <f ca="1">IFERROR(IF(0=LEN(ReferenceData!$AW$67),"",ReferenceData!$AW$67),"")</f>
        <v>82200</v>
      </c>
      <c r="AX67">
        <f ca="1">IFERROR(IF(0=LEN(ReferenceData!$AX$67),"",ReferenceData!$AX$67),"")</f>
        <v>82700</v>
      </c>
      <c r="AY67">
        <f ca="1">IFERROR(IF(0=LEN(ReferenceData!$AY$67),"",ReferenceData!$AY$67),"")</f>
        <v>82800</v>
      </c>
      <c r="AZ67">
        <f ca="1">IFERROR(IF(0=LEN(ReferenceData!$AZ$67),"",ReferenceData!$AZ$67),"")</f>
        <v>81700</v>
      </c>
      <c r="BA67">
        <f ca="1">IFERROR(IF(0=LEN(ReferenceData!$BA$67),"",ReferenceData!$BA$67),"")</f>
        <v>79500</v>
      </c>
      <c r="BB67">
        <f ca="1">IFERROR(IF(0=LEN(ReferenceData!$BB$67),"",ReferenceData!$BB$67),"")</f>
        <v>77300</v>
      </c>
      <c r="BC67">
        <f ca="1">IFERROR(IF(0=LEN(ReferenceData!$BC$67),"",ReferenceData!$BC$67),"")</f>
        <v>75900</v>
      </c>
      <c r="BD67">
        <f ca="1">IFERROR(IF(0=LEN(ReferenceData!$BD$67),"",ReferenceData!$BD$67),"")</f>
        <v>74800</v>
      </c>
      <c r="BE67">
        <f ca="1">IFERROR(IF(0=LEN(ReferenceData!$BE$67),"",ReferenceData!$BE$67),"")</f>
        <v>72900</v>
      </c>
      <c r="BF67">
        <f ca="1">IFERROR(IF(0=LEN(ReferenceData!$BF$67),"",ReferenceData!$BF$67),"")</f>
        <v>70600</v>
      </c>
      <c r="BG67">
        <f ca="1">IFERROR(IF(0=LEN(ReferenceData!$BG$67),"",ReferenceData!$BG$67),"")</f>
        <v>68400</v>
      </c>
      <c r="BH67">
        <f ca="1">IFERROR(IF(0=LEN(ReferenceData!$BH$67),"",ReferenceData!$BH$67),"")</f>
        <v>66800</v>
      </c>
      <c r="BI67">
        <f ca="1">IFERROR(IF(0=LEN(ReferenceData!$BI$67),"",ReferenceData!$BI$67),"")</f>
        <v>66000</v>
      </c>
      <c r="BJ67">
        <f ca="1">IFERROR(IF(0=LEN(ReferenceData!$BJ$67),"",ReferenceData!$BJ$67),"")</f>
        <v>63200</v>
      </c>
      <c r="BK67">
        <f ca="1">IFERROR(IF(0=LEN(ReferenceData!$BK$67),"",ReferenceData!$BK$67),"")</f>
        <v>62400</v>
      </c>
      <c r="BL67">
        <f ca="1">IFERROR(IF(0=LEN(ReferenceData!$BL$67),"",ReferenceData!$BL$67),"")</f>
        <v>61000</v>
      </c>
      <c r="BM67" t="str">
        <f ca="1">IFERROR(IF(0=LEN(ReferenceData!$BM$67),"",ReferenceData!$BM$67),"")</f>
        <v/>
      </c>
    </row>
    <row r="68" spans="1:65">
      <c r="A68" t="str">
        <f>IFERROR(IF(0=LEN(ReferenceData!$A$68),"",ReferenceData!$A$68),"")</f>
        <v xml:space="preserve">    First Citizens BancShares Inc/</v>
      </c>
      <c r="B68" t="str">
        <f>IFERROR(IF(0=LEN(ReferenceData!$B$68),"",ReferenceData!$B$68),"")</f>
        <v>FCNCA US Equity</v>
      </c>
      <c r="C68" t="str">
        <f>IFERROR(IF(0=LEN(ReferenceData!$C$68),"",ReferenceData!$C$68),"")</f>
        <v>BS962</v>
      </c>
      <c r="D68" t="str">
        <f>IFERROR(IF(0=LEN(ReferenceData!$D$68),"",ReferenceData!$D$68),"")</f>
        <v>BS_RSD_MTG_SRVC_PORTFOLIO</v>
      </c>
      <c r="E68" t="str">
        <f>IFERROR(IF(0=LEN(ReferenceData!$E$68),"",ReferenceData!$E$68),"")</f>
        <v>Dynamic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 t="str">
        <f ca="1">IFERROR(IF(0=LEN(ReferenceData!$H$68),"",ReferenceData!$H$68),"")</f>
        <v/>
      </c>
      <c r="I68" t="str">
        <f ca="1">IFERROR(IF(0=LEN(ReferenceData!$I$68),"",ReferenceData!$I$68),"")</f>
        <v/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 t="str">
        <f ca="1">IFERROR(IF(0=LEN(ReferenceData!$P$68),"",ReferenceData!$P$68),"")</f>
        <v/>
      </c>
      <c r="Q68" t="str">
        <f ca="1">IFERROR(IF(0=LEN(ReferenceData!$Q$68),"",ReferenceData!$Q$68),"")</f>
        <v/>
      </c>
      <c r="R68" t="str">
        <f ca="1">IFERROR(IF(0=LEN(ReferenceData!$R$68),"",ReferenceData!$R$68),"")</f>
        <v/>
      </c>
      <c r="S68" t="str">
        <f ca="1">IFERROR(IF(0=LEN(ReferenceData!$S$68),"",ReferenceData!$S$68),"")</f>
        <v/>
      </c>
      <c r="T68" t="str">
        <f ca="1">IFERROR(IF(0=LEN(ReferenceData!$T$68),"",ReferenceData!$T$68),"")</f>
        <v/>
      </c>
      <c r="U68" t="str">
        <f ca="1">IFERROR(IF(0=LEN(ReferenceData!$U$68),"",ReferenceData!$U$68),"")</f>
        <v/>
      </c>
      <c r="V68" t="str">
        <f ca="1">IFERROR(IF(0=LEN(ReferenceData!$V$68),"",ReferenceData!$V$68),"")</f>
        <v/>
      </c>
      <c r="W68" t="str">
        <f ca="1">IFERROR(IF(0=LEN(ReferenceData!$W$68),"",ReferenceData!$W$68),"")</f>
        <v/>
      </c>
      <c r="X68" t="str">
        <f ca="1">IFERROR(IF(0=LEN(ReferenceData!$X$68),"",ReferenceData!$X$68),"")</f>
        <v/>
      </c>
      <c r="Y68" t="str">
        <f ca="1">IFERROR(IF(0=LEN(ReferenceData!$Y$68),"",ReferenceData!$Y$68),"")</f>
        <v/>
      </c>
      <c r="Z68" t="str">
        <f ca="1">IFERROR(IF(0=LEN(ReferenceData!$Z$68),"",ReferenceData!$Z$68),"")</f>
        <v/>
      </c>
      <c r="AA68" t="str">
        <f ca="1">IFERROR(IF(0=LEN(ReferenceData!$AA$68),"",ReferenceData!$AA$68),"")</f>
        <v/>
      </c>
      <c r="AB68" t="str">
        <f ca="1">IFERROR(IF(0=LEN(ReferenceData!$AB$68),"",ReferenceData!$AB$68),"")</f>
        <v/>
      </c>
      <c r="AC68" t="str">
        <f ca="1">IFERROR(IF(0=LEN(ReferenceData!$AC$68),"",ReferenceData!$AC$68),"")</f>
        <v/>
      </c>
      <c r="AD68" t="str">
        <f ca="1">IFERROR(IF(0=LEN(ReferenceData!$AD$68),"",ReferenceData!$AD$68),"")</f>
        <v/>
      </c>
      <c r="AE68" t="str">
        <f ca="1">IFERROR(IF(0=LEN(ReferenceData!$AE$68),"",ReferenceData!$AE$68),"")</f>
        <v/>
      </c>
      <c r="AF68" t="str">
        <f ca="1">IFERROR(IF(0=LEN(ReferenceData!$AF$68),"",ReferenceData!$AF$68),"")</f>
        <v/>
      </c>
      <c r="AG68" t="str">
        <f ca="1">IFERROR(IF(0=LEN(ReferenceData!$AG$68),"",ReferenceData!$AG$68),"")</f>
        <v/>
      </c>
      <c r="AH68" t="str">
        <f ca="1">IFERROR(IF(0=LEN(ReferenceData!$AH$68),"",ReferenceData!$AH$68),"")</f>
        <v/>
      </c>
      <c r="AI68" t="str">
        <f ca="1">IFERROR(IF(0=LEN(ReferenceData!$AI$68),"",ReferenceData!$AI$68),"")</f>
        <v/>
      </c>
      <c r="AJ68" t="str">
        <f ca="1">IFERROR(IF(0=LEN(ReferenceData!$AJ$68),"",ReferenceData!$AJ$68),"")</f>
        <v/>
      </c>
      <c r="AK68" t="str">
        <f ca="1">IFERROR(IF(0=LEN(ReferenceData!$AK$68),"",ReferenceData!$AK$68),"")</f>
        <v/>
      </c>
      <c r="AL68" t="str">
        <f ca="1">IFERROR(IF(0=LEN(ReferenceData!$AL$68),"",ReferenceData!$AL$68),"")</f>
        <v/>
      </c>
      <c r="AM68" t="str">
        <f ca="1">IFERROR(IF(0=LEN(ReferenceData!$AM$68),"",ReferenceData!$AM$68),"")</f>
        <v/>
      </c>
      <c r="AN68" t="str">
        <f ca="1">IFERROR(IF(0=LEN(ReferenceData!$AN$68),"",ReferenceData!$AN$68),"")</f>
        <v/>
      </c>
      <c r="AO68" t="str">
        <f ca="1">IFERROR(IF(0=LEN(ReferenceData!$AO$68),"",ReferenceData!$AO$68),"")</f>
        <v/>
      </c>
      <c r="AP68" t="str">
        <f ca="1">IFERROR(IF(0=LEN(ReferenceData!$AP$68),"",ReferenceData!$AP$68),"")</f>
        <v/>
      </c>
      <c r="AQ68" t="str">
        <f ca="1">IFERROR(IF(0=LEN(ReferenceData!$AQ$68),"",ReferenceData!$AQ$68),"")</f>
        <v/>
      </c>
      <c r="AR68" t="str">
        <f ca="1">IFERROR(IF(0=LEN(ReferenceData!$AR$68),"",ReferenceData!$AR$68),"")</f>
        <v/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 t="str">
        <f ca="1">IFERROR(IF(0=LEN(ReferenceData!$AU$68),"",ReferenceData!$AU$68),"")</f>
        <v/>
      </c>
      <c r="AV68" t="str">
        <f ca="1">IFERROR(IF(0=LEN(ReferenceData!$AV$68),"",ReferenceData!$AV$68),"")</f>
        <v/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 t="str">
        <f ca="1">IFERROR(IF(0=LEN(ReferenceData!$AY$68),"",ReferenceData!$AY$68),"")</f>
        <v/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 t="str">
        <f ca="1">IFERROR(IF(0=LEN(ReferenceData!$BC$68),"",ReferenceData!$BC$68),"")</f>
        <v/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 t="str">
        <f ca="1">IFERROR(IF(0=LEN(ReferenceData!$BG$68),"",ReferenceData!$BG$68),"")</f>
        <v/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 t="str">
        <f ca="1">IFERROR(IF(0=LEN(ReferenceData!$BK$68),"",ReferenceData!$BK$68),"")</f>
        <v/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>
      <c r="A69" t="str">
        <f>IFERROR(IF(0=LEN(ReferenceData!$A$69),"",ReferenceData!$A$69),"")</f>
        <v xml:space="preserve">    Flagstar Financial Inc</v>
      </c>
      <c r="B69" t="str">
        <f>IFERROR(IF(0=LEN(ReferenceData!$B$69),"",ReferenceData!$B$69),"")</f>
        <v>FLG US Equity</v>
      </c>
      <c r="C69" t="str">
        <f>IFERROR(IF(0=LEN(ReferenceData!$C$69),"",ReferenceData!$C$69),"")</f>
        <v>BS962</v>
      </c>
      <c r="D69" t="str">
        <f>IFERROR(IF(0=LEN(ReferenceData!$D$69),"",ReferenceData!$D$69),"")</f>
        <v>BS_RSD_MTG_SRVC_PORTFOLIO</v>
      </c>
      <c r="E69" t="str">
        <f>IFERROR(IF(0=LEN(ReferenceData!$E$69),"",ReferenceData!$E$69),"")</f>
        <v>Dynamic</v>
      </c>
      <c r="F69" t="str">
        <f ca="1">IFERROR(IF(0=LEN(ReferenceData!$F$69),"",ReferenceData!$F$69),"")</f>
        <v/>
      </c>
      <c r="G69" t="str">
        <f ca="1">IFERROR(IF(0=LEN(ReferenceData!$G$69),"",ReferenceData!$G$69),"")</f>
        <v/>
      </c>
      <c r="H69" t="str">
        <f ca="1">IFERROR(IF(0=LEN(ReferenceData!$H$69),"",ReferenceData!$H$69),"")</f>
        <v/>
      </c>
      <c r="I69" t="str">
        <f ca="1">IFERROR(IF(0=LEN(ReferenceData!$I$69),"",ReferenceData!$I$69),"")</f>
        <v/>
      </c>
      <c r="J69" t="str">
        <f ca="1">IFERROR(IF(0=LEN(ReferenceData!$J$69),"",ReferenceData!$J$69),"")</f>
        <v/>
      </c>
      <c r="K69" t="str">
        <f ca="1">IFERROR(IF(0=LEN(ReferenceData!$K$69),"",ReferenceData!$K$69),"")</f>
        <v/>
      </c>
      <c r="L69" t="str">
        <f ca="1">IFERROR(IF(0=LEN(ReferenceData!$L$69),"",ReferenceData!$L$69),"")</f>
        <v/>
      </c>
      <c r="M69" t="str">
        <f ca="1">IFERROR(IF(0=LEN(ReferenceData!$M$69),"",ReferenceData!$M$69),"")</f>
        <v/>
      </c>
      <c r="N69" t="str">
        <f ca="1">IFERROR(IF(0=LEN(ReferenceData!$N$69),"",ReferenceData!$N$69),"")</f>
        <v/>
      </c>
      <c r="O69" t="str">
        <f ca="1">IFERROR(IF(0=LEN(ReferenceData!$O$69),"",ReferenceData!$O$69),"")</f>
        <v/>
      </c>
      <c r="P69" t="str">
        <f ca="1">IFERROR(IF(0=LEN(ReferenceData!$P$69),"",ReferenceData!$P$69),"")</f>
        <v/>
      </c>
      <c r="Q69" t="str">
        <f ca="1">IFERROR(IF(0=LEN(ReferenceData!$Q$69),"",ReferenceData!$Q$69),"")</f>
        <v/>
      </c>
      <c r="R69" t="str">
        <f ca="1">IFERROR(IF(0=LEN(ReferenceData!$R$69),"",ReferenceData!$R$69),"")</f>
        <v/>
      </c>
      <c r="S69" t="str">
        <f ca="1">IFERROR(IF(0=LEN(ReferenceData!$S$69),"",ReferenceData!$S$69),"")</f>
        <v/>
      </c>
      <c r="T69" t="str">
        <f ca="1">IFERROR(IF(0=LEN(ReferenceData!$T$69),"",ReferenceData!$T$69),"")</f>
        <v/>
      </c>
      <c r="U69" t="str">
        <f ca="1">IFERROR(IF(0=LEN(ReferenceData!$U$69),"",ReferenceData!$U$69),"")</f>
        <v/>
      </c>
      <c r="V69" t="str">
        <f ca="1">IFERROR(IF(0=LEN(ReferenceData!$V$69),"",ReferenceData!$V$69),"")</f>
        <v/>
      </c>
      <c r="W69" t="str">
        <f ca="1">IFERROR(IF(0=LEN(ReferenceData!$W$69),"",ReferenceData!$W$69),"")</f>
        <v/>
      </c>
      <c r="X69" t="str">
        <f ca="1">IFERROR(IF(0=LEN(ReferenceData!$X$69),"",ReferenceData!$X$69),"")</f>
        <v/>
      </c>
      <c r="Y69" t="str">
        <f ca="1">IFERROR(IF(0=LEN(ReferenceData!$Y$69),"",ReferenceData!$Y$69),"")</f>
        <v/>
      </c>
      <c r="Z69" t="str">
        <f ca="1">IFERROR(IF(0=LEN(ReferenceData!$Z$69),"",ReferenceData!$Z$69),"")</f>
        <v/>
      </c>
      <c r="AA69" t="str">
        <f ca="1">IFERROR(IF(0=LEN(ReferenceData!$AA$69),"",ReferenceData!$AA$69),"")</f>
        <v/>
      </c>
      <c r="AB69" t="str">
        <f ca="1">IFERROR(IF(0=LEN(ReferenceData!$AB$69),"",ReferenceData!$AB$69),"")</f>
        <v/>
      </c>
      <c r="AC69" t="str">
        <f ca="1">IFERROR(IF(0=LEN(ReferenceData!$AC$69),"",ReferenceData!$AC$69),"")</f>
        <v/>
      </c>
      <c r="AD69" t="str">
        <f ca="1">IFERROR(IF(0=LEN(ReferenceData!$AD$69),"",ReferenceData!$AD$69),"")</f>
        <v/>
      </c>
      <c r="AE69" t="str">
        <f ca="1">IFERROR(IF(0=LEN(ReferenceData!$AE$69),"",ReferenceData!$AE$69),"")</f>
        <v/>
      </c>
      <c r="AF69" t="str">
        <f ca="1">IFERROR(IF(0=LEN(ReferenceData!$AF$69),"",ReferenceData!$AF$69),"")</f>
        <v/>
      </c>
      <c r="AG69" t="str">
        <f ca="1">IFERROR(IF(0=LEN(ReferenceData!$AG$69),"",ReferenceData!$AG$69),"")</f>
        <v/>
      </c>
      <c r="AH69" t="str">
        <f ca="1">IFERROR(IF(0=LEN(ReferenceData!$AH$69),"",ReferenceData!$AH$69),"")</f>
        <v/>
      </c>
      <c r="AI69" t="str">
        <f ca="1">IFERROR(IF(0=LEN(ReferenceData!$AI$69),"",ReferenceData!$AI$69),"")</f>
        <v/>
      </c>
      <c r="AJ69" t="str">
        <f ca="1">IFERROR(IF(0=LEN(ReferenceData!$AJ$69),"",ReferenceData!$AJ$69),"")</f>
        <v/>
      </c>
      <c r="AK69" t="str">
        <f ca="1">IFERROR(IF(0=LEN(ReferenceData!$AK$69),"",ReferenceData!$AK$69),"")</f>
        <v/>
      </c>
      <c r="AL69" t="str">
        <f ca="1">IFERROR(IF(0=LEN(ReferenceData!$AL$69),"",ReferenceData!$AL$69),"")</f>
        <v/>
      </c>
      <c r="AM69" t="str">
        <f ca="1">IFERROR(IF(0=LEN(ReferenceData!$AM$69),"",ReferenceData!$AM$69),"")</f>
        <v/>
      </c>
      <c r="AN69" t="str">
        <f ca="1">IFERROR(IF(0=LEN(ReferenceData!$AN$69),"",ReferenceData!$AN$69),"")</f>
        <v/>
      </c>
      <c r="AO69" t="str">
        <f ca="1">IFERROR(IF(0=LEN(ReferenceData!$AO$69),"",ReferenceData!$AO$69),"")</f>
        <v/>
      </c>
      <c r="AP69" t="str">
        <f ca="1">IFERROR(IF(0=LEN(ReferenceData!$AP$69),"",ReferenceData!$AP$69),"")</f>
        <v/>
      </c>
      <c r="AQ69" t="str">
        <f ca="1">IFERROR(IF(0=LEN(ReferenceData!$AQ$69),"",ReferenceData!$AQ$69),"")</f>
        <v/>
      </c>
      <c r="AR69" t="str">
        <f ca="1">IFERROR(IF(0=LEN(ReferenceData!$AR$69),"",ReferenceData!$AR$69),"")</f>
        <v/>
      </c>
      <c r="AS69" t="str">
        <f ca="1">IFERROR(IF(0=LEN(ReferenceData!$AS$69),"",ReferenceData!$AS$69),"")</f>
        <v/>
      </c>
      <c r="AT69" t="str">
        <f ca="1">IFERROR(IF(0=LEN(ReferenceData!$AT$69),"",ReferenceData!$AT$69),"")</f>
        <v/>
      </c>
      <c r="AU69" t="str">
        <f ca="1">IFERROR(IF(0=LEN(ReferenceData!$AU$69),"",ReferenceData!$AU$69),"")</f>
        <v/>
      </c>
      <c r="AV69" t="str">
        <f ca="1">IFERROR(IF(0=LEN(ReferenceData!$AV$69),"",ReferenceData!$AV$69),"")</f>
        <v/>
      </c>
      <c r="AW69" t="str">
        <f ca="1">IFERROR(IF(0=LEN(ReferenceData!$AW$69),"",ReferenceData!$AW$69),"")</f>
        <v/>
      </c>
      <c r="AX69" t="str">
        <f ca="1">IFERROR(IF(0=LEN(ReferenceData!$AX$69),"",ReferenceData!$AX$69),"")</f>
        <v/>
      </c>
      <c r="AY69" t="str">
        <f ca="1">IFERROR(IF(0=LEN(ReferenceData!$AY$69),"",ReferenceData!$AY$69),"")</f>
        <v/>
      </c>
      <c r="AZ69" t="str">
        <f ca="1">IFERROR(IF(0=LEN(ReferenceData!$AZ$69),"",ReferenceData!$AZ$69),"")</f>
        <v/>
      </c>
      <c r="BA69" t="str">
        <f ca="1">IFERROR(IF(0=LEN(ReferenceData!$BA$69),"",ReferenceData!$BA$69),"")</f>
        <v/>
      </c>
      <c r="BB69" t="str">
        <f ca="1">IFERROR(IF(0=LEN(ReferenceData!$BB$69),"",ReferenceData!$BB$69),"")</f>
        <v/>
      </c>
      <c r="BC69" t="str">
        <f ca="1">IFERROR(IF(0=LEN(ReferenceData!$BC$69),"",ReferenceData!$BC$69),"")</f>
        <v/>
      </c>
      <c r="BD69" t="str">
        <f ca="1">IFERROR(IF(0=LEN(ReferenceData!$BD$69),"",ReferenceData!$BD$69),"")</f>
        <v/>
      </c>
      <c r="BE69" t="str">
        <f ca="1">IFERROR(IF(0=LEN(ReferenceData!$BE$69),"",ReferenceData!$BE$69),"")</f>
        <v/>
      </c>
      <c r="BF69" t="str">
        <f ca="1">IFERROR(IF(0=LEN(ReferenceData!$BF$69),"",ReferenceData!$BF$69),"")</f>
        <v/>
      </c>
      <c r="BG69" t="str">
        <f ca="1">IFERROR(IF(0=LEN(ReferenceData!$BG$69),"",ReferenceData!$BG$69),"")</f>
        <v/>
      </c>
      <c r="BH69" t="str">
        <f ca="1">IFERROR(IF(0=LEN(ReferenceData!$BH$69),"",ReferenceData!$BH$69),"")</f>
        <v/>
      </c>
      <c r="BI69" t="str">
        <f ca="1">IFERROR(IF(0=LEN(ReferenceData!$BI$69),"",ReferenceData!$BI$69),"")</f>
        <v/>
      </c>
      <c r="BJ69" t="str">
        <f ca="1">IFERROR(IF(0=LEN(ReferenceData!$BJ$69),"",ReferenceData!$BJ$69),"")</f>
        <v/>
      </c>
      <c r="BK69" t="str">
        <f ca="1">IFERROR(IF(0=LEN(ReferenceData!$BK$69),"",ReferenceData!$BK$69),"")</f>
        <v/>
      </c>
      <c r="BL69" t="str">
        <f ca="1">IFERROR(IF(0=LEN(ReferenceData!$BL$69),"",ReferenceData!$BL$69),"")</f>
        <v/>
      </c>
      <c r="BM69" t="str">
        <f ca="1">IFERROR(IF(0=LEN(ReferenceData!$BM$69),"",ReferenceData!$BM$69),"")</f>
        <v/>
      </c>
    </row>
    <row r="70" spans="1:65">
      <c r="A70" t="str">
        <f>IFERROR(IF(0=LEN(ReferenceData!$A$70),"",ReferenceData!$A$70),"")</f>
        <v xml:space="preserve">    Huntington Bancshares Inc/OH</v>
      </c>
      <c r="B70" t="str">
        <f>IFERROR(IF(0=LEN(ReferenceData!$B$70),"",ReferenceData!$B$70),"")</f>
        <v>HBAN US Equity</v>
      </c>
      <c r="C70" t="str">
        <f>IFERROR(IF(0=LEN(ReferenceData!$C$70),"",ReferenceData!$C$70),"")</f>
        <v>BS962</v>
      </c>
      <c r="D70" t="str">
        <f>IFERROR(IF(0=LEN(ReferenceData!$D$70),"",ReferenceData!$D$70),"")</f>
        <v>BS_RSD_MTG_SRVC_PORTFOLIO</v>
      </c>
      <c r="E70" t="str">
        <f>IFERROR(IF(0=LEN(ReferenceData!$E$70),"",ReferenceData!$E$70),"")</f>
        <v>Dynamic</v>
      </c>
      <c r="F70" t="str">
        <f ca="1">IFERROR(IF(0=LEN(ReferenceData!$F$70),"",ReferenceData!$F$70),"")</f>
        <v/>
      </c>
      <c r="G70" t="str">
        <f ca="1">IFERROR(IF(0=LEN(ReferenceData!$G$70),"",ReferenceData!$G$70),"")</f>
        <v/>
      </c>
      <c r="H70" t="str">
        <f ca="1">IFERROR(IF(0=LEN(ReferenceData!$H$70),"",ReferenceData!$H$70),"")</f>
        <v/>
      </c>
      <c r="I70" t="str">
        <f ca="1">IFERROR(IF(0=LEN(ReferenceData!$I$70),"",ReferenceData!$I$70),"")</f>
        <v/>
      </c>
      <c r="J70" t="str">
        <f ca="1">IFERROR(IF(0=LEN(ReferenceData!$J$70),"",ReferenceData!$J$70),"")</f>
        <v/>
      </c>
      <c r="K70" t="str">
        <f ca="1">IFERROR(IF(0=LEN(ReferenceData!$K$70),"",ReferenceData!$K$70),"")</f>
        <v/>
      </c>
      <c r="L70" t="str">
        <f ca="1">IFERROR(IF(0=LEN(ReferenceData!$L$70),"",ReferenceData!$L$70),"")</f>
        <v/>
      </c>
      <c r="M70" t="str">
        <f ca="1">IFERROR(IF(0=LEN(ReferenceData!$M$70),"",ReferenceData!$M$70),"")</f>
        <v/>
      </c>
      <c r="N70" t="str">
        <f ca="1">IFERROR(IF(0=LEN(ReferenceData!$N$70),"",ReferenceData!$N$70),"")</f>
        <v/>
      </c>
      <c r="O70" t="str">
        <f ca="1">IFERROR(IF(0=LEN(ReferenceData!$O$70),"",ReferenceData!$O$70),"")</f>
        <v/>
      </c>
      <c r="P70" t="str">
        <f ca="1">IFERROR(IF(0=LEN(ReferenceData!$P$70),"",ReferenceData!$P$70),"")</f>
        <v/>
      </c>
      <c r="Q70" t="str">
        <f ca="1">IFERROR(IF(0=LEN(ReferenceData!$Q$70),"",ReferenceData!$Q$70),"")</f>
        <v/>
      </c>
      <c r="R70" t="str">
        <f ca="1">IFERROR(IF(0=LEN(ReferenceData!$R$70),"",ReferenceData!$R$70),"")</f>
        <v/>
      </c>
      <c r="S70" t="str">
        <f ca="1">IFERROR(IF(0=LEN(ReferenceData!$S$70),"",ReferenceData!$S$70),"")</f>
        <v/>
      </c>
      <c r="T70" t="str">
        <f ca="1">IFERROR(IF(0=LEN(ReferenceData!$T$70),"",ReferenceData!$T$70),"")</f>
        <v/>
      </c>
      <c r="U70" t="str">
        <f ca="1">IFERROR(IF(0=LEN(ReferenceData!$U$70),"",ReferenceData!$U$70),"")</f>
        <v/>
      </c>
      <c r="V70" t="str">
        <f ca="1">IFERROR(IF(0=LEN(ReferenceData!$V$70),"",ReferenceData!$V$70),"")</f>
        <v/>
      </c>
      <c r="W70" t="str">
        <f ca="1">IFERROR(IF(0=LEN(ReferenceData!$W$70),"",ReferenceData!$W$70),"")</f>
        <v/>
      </c>
      <c r="X70" t="str">
        <f ca="1">IFERROR(IF(0=LEN(ReferenceData!$X$70),"",ReferenceData!$X$70),"")</f>
        <v/>
      </c>
      <c r="Y70" t="str">
        <f ca="1">IFERROR(IF(0=LEN(ReferenceData!$Y$70),"",ReferenceData!$Y$70),"")</f>
        <v/>
      </c>
      <c r="Z70" t="str">
        <f ca="1">IFERROR(IF(0=LEN(ReferenceData!$Z$70),"",ReferenceData!$Z$70),"")</f>
        <v/>
      </c>
      <c r="AA70" t="str">
        <f ca="1">IFERROR(IF(0=LEN(ReferenceData!$AA$70),"",ReferenceData!$AA$70),"")</f>
        <v/>
      </c>
      <c r="AB70" t="str">
        <f ca="1">IFERROR(IF(0=LEN(ReferenceData!$AB$70),"",ReferenceData!$AB$70),"")</f>
        <v/>
      </c>
      <c r="AC70" t="str">
        <f ca="1">IFERROR(IF(0=LEN(ReferenceData!$AC$70),"",ReferenceData!$AC$70),"")</f>
        <v/>
      </c>
      <c r="AD70" t="str">
        <f ca="1">IFERROR(IF(0=LEN(ReferenceData!$AD$70),"",ReferenceData!$AD$70),"")</f>
        <v/>
      </c>
      <c r="AE70" t="str">
        <f ca="1">IFERROR(IF(0=LEN(ReferenceData!$AE$70),"",ReferenceData!$AE$70),"")</f>
        <v/>
      </c>
      <c r="AF70" t="str">
        <f ca="1">IFERROR(IF(0=LEN(ReferenceData!$AF$70),"",ReferenceData!$AF$70),"")</f>
        <v/>
      </c>
      <c r="AG70" t="str">
        <f ca="1">IFERROR(IF(0=LEN(ReferenceData!$AG$70),"",ReferenceData!$AG$70),"")</f>
        <v/>
      </c>
      <c r="AH70" t="str">
        <f ca="1">IFERROR(IF(0=LEN(ReferenceData!$AH$70),"",ReferenceData!$AH$70),"")</f>
        <v/>
      </c>
      <c r="AI70" t="str">
        <f ca="1">IFERROR(IF(0=LEN(ReferenceData!$AI$70),"",ReferenceData!$AI$70),"")</f>
        <v/>
      </c>
      <c r="AJ70" t="str">
        <f ca="1">IFERROR(IF(0=LEN(ReferenceData!$AJ$70),"",ReferenceData!$AJ$70),"")</f>
        <v/>
      </c>
      <c r="AK70" t="str">
        <f ca="1">IFERROR(IF(0=LEN(ReferenceData!$AK$70),"",ReferenceData!$AK$70),"")</f>
        <v/>
      </c>
      <c r="AL70" t="str">
        <f ca="1">IFERROR(IF(0=LEN(ReferenceData!$AL$70),"",ReferenceData!$AL$70),"")</f>
        <v/>
      </c>
      <c r="AM70" t="str">
        <f ca="1">IFERROR(IF(0=LEN(ReferenceData!$AM$70),"",ReferenceData!$AM$70),"")</f>
        <v/>
      </c>
      <c r="AN70" t="str">
        <f ca="1">IFERROR(IF(0=LEN(ReferenceData!$AN$70),"",ReferenceData!$AN$70),"")</f>
        <v/>
      </c>
      <c r="AO70" t="str">
        <f ca="1">IFERROR(IF(0=LEN(ReferenceData!$AO$70),"",ReferenceData!$AO$70),"")</f>
        <v/>
      </c>
      <c r="AP70" t="str">
        <f ca="1">IFERROR(IF(0=LEN(ReferenceData!$AP$70),"",ReferenceData!$AP$70),"")</f>
        <v/>
      </c>
      <c r="AQ70" t="str">
        <f ca="1">IFERROR(IF(0=LEN(ReferenceData!$AQ$70),"",ReferenceData!$AQ$70),"")</f>
        <v/>
      </c>
      <c r="AR70" t="str">
        <f ca="1">IFERROR(IF(0=LEN(ReferenceData!$AR$70),"",ReferenceData!$AR$70),"")</f>
        <v/>
      </c>
      <c r="AS70" t="str">
        <f ca="1">IFERROR(IF(0=LEN(ReferenceData!$AS$70),"",ReferenceData!$AS$70),"")</f>
        <v/>
      </c>
      <c r="AT70" t="str">
        <f ca="1">IFERROR(IF(0=LEN(ReferenceData!$AT$70),"",ReferenceData!$AT$70),"")</f>
        <v/>
      </c>
      <c r="AU70" t="str">
        <f ca="1">IFERROR(IF(0=LEN(ReferenceData!$AU$70),"",ReferenceData!$AU$70),"")</f>
        <v/>
      </c>
      <c r="AV70" t="str">
        <f ca="1">IFERROR(IF(0=LEN(ReferenceData!$AV$70),"",ReferenceData!$AV$70),"")</f>
        <v/>
      </c>
      <c r="AW70" t="str">
        <f ca="1">IFERROR(IF(0=LEN(ReferenceData!$AW$70),"",ReferenceData!$AW$70),"")</f>
        <v/>
      </c>
      <c r="AX70" t="str">
        <f ca="1">IFERROR(IF(0=LEN(ReferenceData!$AX$70),"",ReferenceData!$AX$70),"")</f>
        <v/>
      </c>
      <c r="AY70" t="str">
        <f ca="1">IFERROR(IF(0=LEN(ReferenceData!$AY$70),"",ReferenceData!$AY$70),"")</f>
        <v/>
      </c>
      <c r="AZ70" t="str">
        <f ca="1">IFERROR(IF(0=LEN(ReferenceData!$AZ$70),"",ReferenceData!$AZ$70),"")</f>
        <v/>
      </c>
      <c r="BA70" t="str">
        <f ca="1">IFERROR(IF(0=LEN(ReferenceData!$BA$70),"",ReferenceData!$BA$70),"")</f>
        <v/>
      </c>
      <c r="BB70" t="str">
        <f ca="1">IFERROR(IF(0=LEN(ReferenceData!$BB$70),"",ReferenceData!$BB$70),"")</f>
        <v/>
      </c>
      <c r="BC70" t="str">
        <f ca="1">IFERROR(IF(0=LEN(ReferenceData!$BC$70),"",ReferenceData!$BC$70),"")</f>
        <v/>
      </c>
      <c r="BD70" t="str">
        <f ca="1">IFERROR(IF(0=LEN(ReferenceData!$BD$70),"",ReferenceData!$BD$70),"")</f>
        <v/>
      </c>
      <c r="BE70" t="str">
        <f ca="1">IFERROR(IF(0=LEN(ReferenceData!$BE$70),"",ReferenceData!$BE$70),"")</f>
        <v/>
      </c>
      <c r="BF70" t="str">
        <f ca="1">IFERROR(IF(0=LEN(ReferenceData!$BF$70),"",ReferenceData!$BF$70),"")</f>
        <v/>
      </c>
      <c r="BG70" t="str">
        <f ca="1">IFERROR(IF(0=LEN(ReferenceData!$BG$70),"",ReferenceData!$BG$70),"")</f>
        <v/>
      </c>
      <c r="BH70" t="str">
        <f ca="1">IFERROR(IF(0=LEN(ReferenceData!$BH$70),"",ReferenceData!$BH$70),"")</f>
        <v/>
      </c>
      <c r="BI70" t="str">
        <f ca="1">IFERROR(IF(0=LEN(ReferenceData!$BI$70),"",ReferenceData!$BI$70),"")</f>
        <v/>
      </c>
      <c r="BJ70" t="str">
        <f ca="1">IFERROR(IF(0=LEN(ReferenceData!$BJ$70),"",ReferenceData!$BJ$70),"")</f>
        <v/>
      </c>
      <c r="BK70" t="str">
        <f ca="1">IFERROR(IF(0=LEN(ReferenceData!$BK$70),"",ReferenceData!$BK$70),"")</f>
        <v/>
      </c>
      <c r="BL70" t="str">
        <f ca="1">IFERROR(IF(0=LEN(ReferenceData!$BL$70),"",ReferenceData!$BL$70),"")</f>
        <v/>
      </c>
      <c r="BM70" t="str">
        <f ca="1">IFERROR(IF(0=LEN(ReferenceData!$BM$70),"",ReferenceData!$BM$70),"")</f>
        <v/>
      </c>
    </row>
    <row r="71" spans="1:65">
      <c r="A71" t="str">
        <f>IFERROR(IF(0=LEN(ReferenceData!$A$71),"",ReferenceData!$A$71),"")</f>
        <v xml:space="preserve">    KeyCorp</v>
      </c>
      <c r="B71" t="str">
        <f>IFERROR(IF(0=LEN(ReferenceData!$B$71),"",ReferenceData!$B$71),"")</f>
        <v>KEY US Equity</v>
      </c>
      <c r="C71" t="str">
        <f>IFERROR(IF(0=LEN(ReferenceData!$C$71),"",ReferenceData!$C$71),"")</f>
        <v>BS962</v>
      </c>
      <c r="D71" t="str">
        <f>IFERROR(IF(0=LEN(ReferenceData!$D$71),"",ReferenceData!$D$71),"")</f>
        <v>BS_RSD_MTG_SRVC_PORTFOLIO</v>
      </c>
      <c r="E71" t="str">
        <f>IFERROR(IF(0=LEN(ReferenceData!$E$71),"",ReferenceData!$E$71),"")</f>
        <v>Dynamic</v>
      </c>
      <c r="F71" t="str">
        <f ca="1">IFERROR(IF(0=LEN(ReferenceData!$F$71),"",ReferenceData!$F$71),"")</f>
        <v/>
      </c>
      <c r="G71" t="str">
        <f ca="1">IFERROR(IF(0=LEN(ReferenceData!$G$71),"",ReferenceData!$G$71),"")</f>
        <v/>
      </c>
      <c r="H71" t="str">
        <f ca="1">IFERROR(IF(0=LEN(ReferenceData!$H$71),"",ReferenceData!$H$71),"")</f>
        <v/>
      </c>
      <c r="I71" t="str">
        <f ca="1">IFERROR(IF(0=LEN(ReferenceData!$I$71),"",ReferenceData!$I$71),"")</f>
        <v/>
      </c>
      <c r="J71" t="str">
        <f ca="1">IFERROR(IF(0=LEN(ReferenceData!$J$71),"",ReferenceData!$J$71),"")</f>
        <v/>
      </c>
      <c r="K71" t="str">
        <f ca="1">IFERROR(IF(0=LEN(ReferenceData!$K$71),"",ReferenceData!$K$71),"")</f>
        <v/>
      </c>
      <c r="L71" t="str">
        <f ca="1">IFERROR(IF(0=LEN(ReferenceData!$L$71),"",ReferenceData!$L$71),"")</f>
        <v/>
      </c>
      <c r="M71" t="str">
        <f ca="1">IFERROR(IF(0=LEN(ReferenceData!$M$71),"",ReferenceData!$M$71),"")</f>
        <v/>
      </c>
      <c r="N71" t="str">
        <f ca="1">IFERROR(IF(0=LEN(ReferenceData!$N$71),"",ReferenceData!$N$71),"")</f>
        <v/>
      </c>
      <c r="O71" t="str">
        <f ca="1">IFERROR(IF(0=LEN(ReferenceData!$O$71),"",ReferenceData!$O$71),"")</f>
        <v/>
      </c>
      <c r="P71" t="str">
        <f ca="1">IFERROR(IF(0=LEN(ReferenceData!$P$71),"",ReferenceData!$P$71),"")</f>
        <v/>
      </c>
      <c r="Q71" t="str">
        <f ca="1">IFERROR(IF(0=LEN(ReferenceData!$Q$71),"",ReferenceData!$Q$71),"")</f>
        <v/>
      </c>
      <c r="R71" t="str">
        <f ca="1">IFERROR(IF(0=LEN(ReferenceData!$R$71),"",ReferenceData!$R$71),"")</f>
        <v/>
      </c>
      <c r="S71" t="str">
        <f ca="1">IFERROR(IF(0=LEN(ReferenceData!$S$71),"",ReferenceData!$S$71),"")</f>
        <v/>
      </c>
      <c r="T71" t="str">
        <f ca="1">IFERROR(IF(0=LEN(ReferenceData!$T$71),"",ReferenceData!$T$71),"")</f>
        <v/>
      </c>
      <c r="U71" t="str">
        <f ca="1">IFERROR(IF(0=LEN(ReferenceData!$U$71),"",ReferenceData!$U$71),"")</f>
        <v/>
      </c>
      <c r="V71" t="str">
        <f ca="1">IFERROR(IF(0=LEN(ReferenceData!$V$71),"",ReferenceData!$V$71),"")</f>
        <v/>
      </c>
      <c r="W71" t="str">
        <f ca="1">IFERROR(IF(0=LEN(ReferenceData!$W$71),"",ReferenceData!$W$71),"")</f>
        <v/>
      </c>
      <c r="X71" t="str">
        <f ca="1">IFERROR(IF(0=LEN(ReferenceData!$X$71),"",ReferenceData!$X$71),"")</f>
        <v/>
      </c>
      <c r="Y71" t="str">
        <f ca="1">IFERROR(IF(0=LEN(ReferenceData!$Y$71),"",ReferenceData!$Y$71),"")</f>
        <v/>
      </c>
      <c r="Z71" t="str">
        <f ca="1">IFERROR(IF(0=LEN(ReferenceData!$Z$71),"",ReferenceData!$Z$71),"")</f>
        <v/>
      </c>
      <c r="AA71" t="str">
        <f ca="1">IFERROR(IF(0=LEN(ReferenceData!$AA$71),"",ReferenceData!$AA$71),"")</f>
        <v/>
      </c>
      <c r="AB71" t="str">
        <f ca="1">IFERROR(IF(0=LEN(ReferenceData!$AB$71),"",ReferenceData!$AB$71),"")</f>
        <v/>
      </c>
      <c r="AC71" t="str">
        <f ca="1">IFERROR(IF(0=LEN(ReferenceData!$AC$71),"",ReferenceData!$AC$71),"")</f>
        <v/>
      </c>
      <c r="AD71" t="str">
        <f ca="1">IFERROR(IF(0=LEN(ReferenceData!$AD$71),"",ReferenceData!$AD$71),"")</f>
        <v/>
      </c>
      <c r="AE71" t="str">
        <f ca="1">IFERROR(IF(0=LEN(ReferenceData!$AE$71),"",ReferenceData!$AE$71),"")</f>
        <v/>
      </c>
      <c r="AF71" t="str">
        <f ca="1">IFERROR(IF(0=LEN(ReferenceData!$AF$71),"",ReferenceData!$AF$71),"")</f>
        <v/>
      </c>
      <c r="AG71" t="str">
        <f ca="1">IFERROR(IF(0=LEN(ReferenceData!$AG$71),"",ReferenceData!$AG$71),"")</f>
        <v/>
      </c>
      <c r="AH71" t="str">
        <f ca="1">IFERROR(IF(0=LEN(ReferenceData!$AH$71),"",ReferenceData!$AH$71),"")</f>
        <v/>
      </c>
      <c r="AI71" t="str">
        <f ca="1">IFERROR(IF(0=LEN(ReferenceData!$AI$71),"",ReferenceData!$AI$71),"")</f>
        <v/>
      </c>
      <c r="AJ71" t="str">
        <f ca="1">IFERROR(IF(0=LEN(ReferenceData!$AJ$71),"",ReferenceData!$AJ$71),"")</f>
        <v/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  <c r="AM71" t="str">
        <f ca="1">IFERROR(IF(0=LEN(ReferenceData!$AM$71),"",ReferenceData!$AM$71),"")</f>
        <v/>
      </c>
      <c r="AN71" t="str">
        <f ca="1">IFERROR(IF(0=LEN(ReferenceData!$AN$71),"",ReferenceData!$AN$71),"")</f>
        <v/>
      </c>
      <c r="AO71" t="str">
        <f ca="1">IFERROR(IF(0=LEN(ReferenceData!$AO$71),"",ReferenceData!$AO$71),"")</f>
        <v/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  <c r="AT71" t="str">
        <f ca="1">IFERROR(IF(0=LEN(ReferenceData!$AT$71),"",ReferenceData!$AT$71),"")</f>
        <v/>
      </c>
      <c r="AU71" t="str">
        <f ca="1">IFERROR(IF(0=LEN(ReferenceData!$AU$71),"",ReferenceData!$AU$71),"")</f>
        <v/>
      </c>
      <c r="AV71" t="str">
        <f ca="1">IFERROR(IF(0=LEN(ReferenceData!$AV$71),"",ReferenceData!$AV$71),"")</f>
        <v/>
      </c>
      <c r="AW71" t="str">
        <f ca="1">IFERROR(IF(0=LEN(ReferenceData!$AW$71),"",ReferenceData!$AW$71),"")</f>
        <v/>
      </c>
      <c r="AX71" t="str">
        <f ca="1">IFERROR(IF(0=LEN(ReferenceData!$AX$71),"",ReferenceData!$AX$71),"")</f>
        <v/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>
      <c r="A72" t="str">
        <f>IFERROR(IF(0=LEN(ReferenceData!$A$72),"",ReferenceData!$A$72),"")</f>
        <v xml:space="preserve">    M&amp;T Bank Corp</v>
      </c>
      <c r="B72" t="str">
        <f>IFERROR(IF(0=LEN(ReferenceData!$B$72),"",ReferenceData!$B$72),"")</f>
        <v>MTB US Equity</v>
      </c>
      <c r="C72" t="str">
        <f>IFERROR(IF(0=LEN(ReferenceData!$C$72),"",ReferenceData!$C$72),"")</f>
        <v>BS962</v>
      </c>
      <c r="D72" t="str">
        <f>IFERROR(IF(0=LEN(ReferenceData!$D$72),"",ReferenceData!$D$72),"")</f>
        <v>BS_RSD_MTG_SRVC_PORTFOLIO</v>
      </c>
      <c r="E72" t="str">
        <f>IFERROR(IF(0=LEN(ReferenceData!$E$72),"",ReferenceData!$E$72),"")</f>
        <v>Dynamic</v>
      </c>
      <c r="F72" t="str">
        <f ca="1">IFERROR(IF(0=LEN(ReferenceData!$F$72),"",ReferenceData!$F$72),"")</f>
        <v/>
      </c>
      <c r="G72" t="str">
        <f ca="1">IFERROR(IF(0=LEN(ReferenceData!$G$72),"",ReferenceData!$G$72),"")</f>
        <v/>
      </c>
      <c r="H72" t="str">
        <f ca="1">IFERROR(IF(0=LEN(ReferenceData!$H$72),"",ReferenceData!$H$72),"")</f>
        <v/>
      </c>
      <c r="I72" t="str">
        <f ca="1">IFERROR(IF(0=LEN(ReferenceData!$I$72),"",ReferenceData!$I$72),"")</f>
        <v/>
      </c>
      <c r="J72" t="str">
        <f ca="1">IFERROR(IF(0=LEN(ReferenceData!$J$72),"",ReferenceData!$J$72),"")</f>
        <v/>
      </c>
      <c r="K72" t="str">
        <f ca="1">IFERROR(IF(0=LEN(ReferenceData!$K$72),"",ReferenceData!$K$72),"")</f>
        <v/>
      </c>
      <c r="L72" t="str">
        <f ca="1">IFERROR(IF(0=LEN(ReferenceData!$L$72),"",ReferenceData!$L$72),"")</f>
        <v/>
      </c>
      <c r="M72" t="str">
        <f ca="1">IFERROR(IF(0=LEN(ReferenceData!$M$72),"",ReferenceData!$M$72),"")</f>
        <v/>
      </c>
      <c r="N72" t="str">
        <f ca="1">IFERROR(IF(0=LEN(ReferenceData!$N$72),"",ReferenceData!$N$72),"")</f>
        <v/>
      </c>
      <c r="O72" t="str">
        <f ca="1">IFERROR(IF(0=LEN(ReferenceData!$O$72),"",ReferenceData!$O$72),"")</f>
        <v/>
      </c>
      <c r="P72" t="str">
        <f ca="1">IFERROR(IF(0=LEN(ReferenceData!$P$72),"",ReferenceData!$P$72),"")</f>
        <v/>
      </c>
      <c r="Q72" t="str">
        <f ca="1">IFERROR(IF(0=LEN(ReferenceData!$Q$72),"",ReferenceData!$Q$72),"")</f>
        <v/>
      </c>
      <c r="R72" t="str">
        <f ca="1">IFERROR(IF(0=LEN(ReferenceData!$R$72),"",ReferenceData!$R$72),"")</f>
        <v/>
      </c>
      <c r="S72" t="str">
        <f ca="1">IFERROR(IF(0=LEN(ReferenceData!$S$72),"",ReferenceData!$S$72),"")</f>
        <v/>
      </c>
      <c r="T72" t="str">
        <f ca="1">IFERROR(IF(0=LEN(ReferenceData!$T$72),"",ReferenceData!$T$72),"")</f>
        <v/>
      </c>
      <c r="U72" t="str">
        <f ca="1">IFERROR(IF(0=LEN(ReferenceData!$U$72),"",ReferenceData!$U$72),"")</f>
        <v/>
      </c>
      <c r="V72" t="str">
        <f ca="1">IFERROR(IF(0=LEN(ReferenceData!$V$72),"",ReferenceData!$V$72),"")</f>
        <v/>
      </c>
      <c r="W72" t="str">
        <f ca="1">IFERROR(IF(0=LEN(ReferenceData!$W$72),"",ReferenceData!$W$72),"")</f>
        <v/>
      </c>
      <c r="X72" t="str">
        <f ca="1">IFERROR(IF(0=LEN(ReferenceData!$X$72),"",ReferenceData!$X$72),"")</f>
        <v/>
      </c>
      <c r="Y72" t="str">
        <f ca="1">IFERROR(IF(0=LEN(ReferenceData!$Y$72),"",ReferenceData!$Y$72),"")</f>
        <v/>
      </c>
      <c r="Z72" t="str">
        <f ca="1">IFERROR(IF(0=LEN(ReferenceData!$Z$72),"",ReferenceData!$Z$72),"")</f>
        <v/>
      </c>
      <c r="AA72" t="str">
        <f ca="1">IFERROR(IF(0=LEN(ReferenceData!$AA$72),"",ReferenceData!$AA$72),"")</f>
        <v/>
      </c>
      <c r="AB72" t="str">
        <f ca="1">IFERROR(IF(0=LEN(ReferenceData!$AB$72),"",ReferenceData!$AB$72),"")</f>
        <v/>
      </c>
      <c r="AC72" t="str">
        <f ca="1">IFERROR(IF(0=LEN(ReferenceData!$AC$72),"",ReferenceData!$AC$72),"")</f>
        <v/>
      </c>
      <c r="AD72" t="str">
        <f ca="1">IFERROR(IF(0=LEN(ReferenceData!$AD$72),"",ReferenceData!$AD$72),"")</f>
        <v/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 t="str">
        <f ca="1">IFERROR(IF(0=LEN(ReferenceData!$AL$72),"",ReferenceData!$AL$72),"")</f>
        <v/>
      </c>
      <c r="AM72" t="str">
        <f ca="1">IFERROR(IF(0=LEN(ReferenceData!$AM$72),"",ReferenceData!$AM$72),"")</f>
        <v/>
      </c>
      <c r="AN72" t="str">
        <f ca="1">IFERROR(IF(0=LEN(ReferenceData!$AN$72),"",ReferenceData!$AN$72),"")</f>
        <v/>
      </c>
      <c r="AO72" t="str">
        <f ca="1">IFERROR(IF(0=LEN(ReferenceData!$AO$72),"",ReferenceData!$AO$72),"")</f>
        <v/>
      </c>
      <c r="AP72" t="str">
        <f ca="1">IFERROR(IF(0=LEN(ReferenceData!$AP$72),"",ReferenceData!$AP$72),"")</f>
        <v/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  <c r="AT72" t="str">
        <f ca="1">IFERROR(IF(0=LEN(ReferenceData!$AT$72),"",ReferenceData!$AT$72),"")</f>
        <v/>
      </c>
      <c r="AU72" t="str">
        <f ca="1">IFERROR(IF(0=LEN(ReferenceData!$AU$72),"",ReferenceData!$AU$72),"")</f>
        <v/>
      </c>
      <c r="AV72" t="str">
        <f ca="1">IFERROR(IF(0=LEN(ReferenceData!$AV$72),"",ReferenceData!$AV$72),"")</f>
        <v/>
      </c>
      <c r="AW72" t="str">
        <f ca="1">IFERROR(IF(0=LEN(ReferenceData!$AW$72),"",ReferenceData!$AW$72),"")</f>
        <v/>
      </c>
      <c r="AX72" t="str">
        <f ca="1">IFERROR(IF(0=LEN(ReferenceData!$AX$72),"",ReferenceData!$AX$72),"")</f>
        <v/>
      </c>
      <c r="AY72" t="str">
        <f ca="1">IFERROR(IF(0=LEN(ReferenceData!$AY$72),"",ReferenceData!$AY$72),"")</f>
        <v/>
      </c>
      <c r="AZ72" t="str">
        <f ca="1">IFERROR(IF(0=LEN(ReferenceData!$AZ$72),"",ReferenceData!$AZ$72),"")</f>
        <v/>
      </c>
      <c r="BA72" t="str">
        <f ca="1">IFERROR(IF(0=LEN(ReferenceData!$BA$72),"",ReferenceData!$BA$72),"")</f>
        <v/>
      </c>
      <c r="BB72" t="str">
        <f ca="1">IFERROR(IF(0=LEN(ReferenceData!$BB$72),"",ReferenceData!$BB$72),"")</f>
        <v/>
      </c>
      <c r="BC72" t="str">
        <f ca="1">IFERROR(IF(0=LEN(ReferenceData!$BC$72),"",ReferenceData!$BC$72),"")</f>
        <v/>
      </c>
      <c r="BD72" t="str">
        <f ca="1">IFERROR(IF(0=LEN(ReferenceData!$BD$72),"",ReferenceData!$BD$72),"")</f>
        <v/>
      </c>
      <c r="BE72" t="str">
        <f ca="1">IFERROR(IF(0=LEN(ReferenceData!$BE$72),"",ReferenceData!$BE$72),"")</f>
        <v/>
      </c>
      <c r="BF72" t="str">
        <f ca="1">IFERROR(IF(0=LEN(ReferenceData!$BF$72),"",ReferenceData!$BF$72),"")</f>
        <v/>
      </c>
      <c r="BG72" t="str">
        <f ca="1">IFERROR(IF(0=LEN(ReferenceData!$BG$72),"",ReferenceData!$BG$72),"")</f>
        <v/>
      </c>
      <c r="BH72" t="str">
        <f ca="1">IFERROR(IF(0=LEN(ReferenceData!$BH$72),"",ReferenceData!$BH$72),"")</f>
        <v/>
      </c>
      <c r="BI72" t="str">
        <f ca="1">IFERROR(IF(0=LEN(ReferenceData!$BI$72),"",ReferenceData!$BI$72),"")</f>
        <v/>
      </c>
      <c r="BJ72" t="str">
        <f ca="1">IFERROR(IF(0=LEN(ReferenceData!$BJ$72),"",ReferenceData!$BJ$72),"")</f>
        <v/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>
      <c r="A73" t="str">
        <f>IFERROR(IF(0=LEN(ReferenceData!$A$73),"",ReferenceData!$A$73),"")</f>
        <v xml:space="preserve">    PNC Financial Services Group I</v>
      </c>
      <c r="B73" t="str">
        <f>IFERROR(IF(0=LEN(ReferenceData!$B$73),"",ReferenceData!$B$73),"")</f>
        <v>PNC US Equity</v>
      </c>
      <c r="C73" t="str">
        <f>IFERROR(IF(0=LEN(ReferenceData!$C$73),"",ReferenceData!$C$73),"")</f>
        <v>BS962</v>
      </c>
      <c r="D73" t="str">
        <f>IFERROR(IF(0=LEN(ReferenceData!$D$73),"",ReferenceData!$D$73),"")</f>
        <v>BS_RSD_MTG_SRVC_PORTFOLIO</v>
      </c>
      <c r="E73" t="str">
        <f>IFERROR(IF(0=LEN(ReferenceData!$E$73),"",ReferenceData!$E$73),"")</f>
        <v>Dynamic</v>
      </c>
      <c r="F73" t="str">
        <f ca="1">IFERROR(IF(0=LEN(ReferenceData!$F$73),"",ReferenceData!$F$73),"")</f>
        <v/>
      </c>
      <c r="G73" t="str">
        <f ca="1">IFERROR(IF(0=LEN(ReferenceData!$G$73),"",ReferenceData!$G$73),"")</f>
        <v/>
      </c>
      <c r="H73" t="str">
        <f ca="1">IFERROR(IF(0=LEN(ReferenceData!$H$73),"",ReferenceData!$H$73),"")</f>
        <v/>
      </c>
      <c r="I73" t="str">
        <f ca="1">IFERROR(IF(0=LEN(ReferenceData!$I$73),"",ReferenceData!$I$73),"")</f>
        <v/>
      </c>
      <c r="J73" t="str">
        <f ca="1">IFERROR(IF(0=LEN(ReferenceData!$J$73),"",ReferenceData!$J$73),"")</f>
        <v/>
      </c>
      <c r="K73" t="str">
        <f ca="1">IFERROR(IF(0=LEN(ReferenceData!$K$73),"",ReferenceData!$K$73),"")</f>
        <v/>
      </c>
      <c r="L73" t="str">
        <f ca="1">IFERROR(IF(0=LEN(ReferenceData!$L$73),"",ReferenceData!$L$73),"")</f>
        <v/>
      </c>
      <c r="M73" t="str">
        <f ca="1">IFERROR(IF(0=LEN(ReferenceData!$M$73),"",ReferenceData!$M$73),"")</f>
        <v/>
      </c>
      <c r="N73" t="str">
        <f ca="1">IFERROR(IF(0=LEN(ReferenceData!$N$73),"",ReferenceData!$N$73),"")</f>
        <v/>
      </c>
      <c r="O73" t="str">
        <f ca="1">IFERROR(IF(0=LEN(ReferenceData!$O$73),"",ReferenceData!$O$73),"")</f>
        <v/>
      </c>
      <c r="P73" t="str">
        <f ca="1">IFERROR(IF(0=LEN(ReferenceData!$P$73),"",ReferenceData!$P$73),"")</f>
        <v/>
      </c>
      <c r="Q73" t="str">
        <f ca="1">IFERROR(IF(0=LEN(ReferenceData!$Q$73),"",ReferenceData!$Q$73),"")</f>
        <v/>
      </c>
      <c r="R73" t="str">
        <f ca="1">IFERROR(IF(0=LEN(ReferenceData!$R$73),"",ReferenceData!$R$73),"")</f>
        <v/>
      </c>
      <c r="S73" t="str">
        <f ca="1">IFERROR(IF(0=LEN(ReferenceData!$S$73),"",ReferenceData!$S$73),"")</f>
        <v/>
      </c>
      <c r="T73" t="str">
        <f ca="1">IFERROR(IF(0=LEN(ReferenceData!$T$73),"",ReferenceData!$T$73),"")</f>
        <v/>
      </c>
      <c r="U73" t="str">
        <f ca="1">IFERROR(IF(0=LEN(ReferenceData!$U$73),"",ReferenceData!$U$73),"")</f>
        <v/>
      </c>
      <c r="V73" t="str">
        <f ca="1">IFERROR(IF(0=LEN(ReferenceData!$V$73),"",ReferenceData!$V$73),"")</f>
        <v/>
      </c>
      <c r="W73" t="str">
        <f ca="1">IFERROR(IF(0=LEN(ReferenceData!$W$73),"",ReferenceData!$W$73),"")</f>
        <v/>
      </c>
      <c r="X73" t="str">
        <f ca="1">IFERROR(IF(0=LEN(ReferenceData!$X$73),"",ReferenceData!$X$73),"")</f>
        <v/>
      </c>
      <c r="Y73" t="str">
        <f ca="1">IFERROR(IF(0=LEN(ReferenceData!$Y$73),"",ReferenceData!$Y$73),"")</f>
        <v/>
      </c>
      <c r="Z73" t="str">
        <f ca="1">IFERROR(IF(0=LEN(ReferenceData!$Z$73),"",ReferenceData!$Z$73),"")</f>
        <v/>
      </c>
      <c r="AA73" t="str">
        <f ca="1">IFERROR(IF(0=LEN(ReferenceData!$AA$73),"",ReferenceData!$AA$73),"")</f>
        <v/>
      </c>
      <c r="AB73" t="str">
        <f ca="1">IFERROR(IF(0=LEN(ReferenceData!$AB$73),"",ReferenceData!$AB$73),"")</f>
        <v/>
      </c>
      <c r="AC73" t="str">
        <f ca="1">IFERROR(IF(0=LEN(ReferenceData!$AC$73),"",ReferenceData!$AC$73),"")</f>
        <v/>
      </c>
      <c r="AD73" t="str">
        <f ca="1">IFERROR(IF(0=LEN(ReferenceData!$AD$73),"",ReferenceData!$AD$73),"")</f>
        <v/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  <c r="AM73" t="str">
        <f ca="1">IFERROR(IF(0=LEN(ReferenceData!$AM$73),"",ReferenceData!$AM$73),"")</f>
        <v/>
      </c>
      <c r="AN73" t="str">
        <f ca="1">IFERROR(IF(0=LEN(ReferenceData!$AN$73),"",ReferenceData!$AN$73),"")</f>
        <v/>
      </c>
      <c r="AO73" t="str">
        <f ca="1">IFERROR(IF(0=LEN(ReferenceData!$AO$73),"",ReferenceData!$AO$73),"")</f>
        <v/>
      </c>
      <c r="AP73" t="str">
        <f ca="1">IFERROR(IF(0=LEN(ReferenceData!$AP$73),"",ReferenceData!$AP$73),"")</f>
        <v/>
      </c>
      <c r="AQ73" t="str">
        <f ca="1">IFERROR(IF(0=LEN(ReferenceData!$AQ$73),"",ReferenceData!$AQ$73),"")</f>
        <v/>
      </c>
      <c r="AR73" t="str">
        <f ca="1">IFERROR(IF(0=LEN(ReferenceData!$AR$73),"",ReferenceData!$AR$73),"")</f>
        <v/>
      </c>
      <c r="AS73" t="str">
        <f ca="1">IFERROR(IF(0=LEN(ReferenceData!$AS$73),"",ReferenceData!$AS$73),"")</f>
        <v/>
      </c>
      <c r="AT73" t="str">
        <f ca="1">IFERROR(IF(0=LEN(ReferenceData!$AT$73),"",ReferenceData!$AT$73),"")</f>
        <v/>
      </c>
      <c r="AU73" t="str">
        <f ca="1">IFERROR(IF(0=LEN(ReferenceData!$AU$73),"",ReferenceData!$AU$73),"")</f>
        <v/>
      </c>
      <c r="AV73" t="str">
        <f ca="1">IFERROR(IF(0=LEN(ReferenceData!$AV$73),"",ReferenceData!$AV$73),"")</f>
        <v/>
      </c>
      <c r="AW73" t="str">
        <f ca="1">IFERROR(IF(0=LEN(ReferenceData!$AW$73),"",ReferenceData!$AW$73),"")</f>
        <v/>
      </c>
      <c r="AX73">
        <f ca="1">IFERROR(IF(0=LEN(ReferenceData!$AX$73),"",ReferenceData!$AX$73),"")</f>
        <v>114000</v>
      </c>
      <c r="AY73" t="str">
        <f ca="1">IFERROR(IF(0=LEN(ReferenceData!$AY$73),"",ReferenceData!$AY$73),"")</f>
        <v/>
      </c>
      <c r="AZ73" t="str">
        <f ca="1">IFERROR(IF(0=LEN(ReferenceData!$AZ$73),"",ReferenceData!$AZ$73),"")</f>
        <v/>
      </c>
      <c r="BA73" t="str">
        <f ca="1">IFERROR(IF(0=LEN(ReferenceData!$BA$73),"",ReferenceData!$BA$73),"")</f>
        <v/>
      </c>
      <c r="BB73">
        <f ca="1">IFERROR(IF(0=LEN(ReferenceData!$BB$73),"",ReferenceData!$BB$73),"")</f>
        <v>135000</v>
      </c>
      <c r="BC73" t="str">
        <f ca="1">IFERROR(IF(0=LEN(ReferenceData!$BC$73),"",ReferenceData!$BC$73),"")</f>
        <v/>
      </c>
      <c r="BD73" t="str">
        <f ca="1">IFERROR(IF(0=LEN(ReferenceData!$BD$73),"",ReferenceData!$BD$73),"")</f>
        <v/>
      </c>
      <c r="BE73" t="str">
        <f ca="1">IFERROR(IF(0=LEN(ReferenceData!$BE$73),"",ReferenceData!$BE$73),"")</f>
        <v/>
      </c>
      <c r="BF73">
        <f ca="1">IFERROR(IF(0=LEN(ReferenceData!$BF$73),"",ReferenceData!$BF$73),"")</f>
        <v>131000</v>
      </c>
      <c r="BG73" t="str">
        <f ca="1">IFERROR(IF(0=LEN(ReferenceData!$BG$73),"",ReferenceData!$BG$73),"")</f>
        <v/>
      </c>
      <c r="BH73" t="str">
        <f ca="1">IFERROR(IF(0=LEN(ReferenceData!$BH$73),"",ReferenceData!$BH$73),"")</f>
        <v/>
      </c>
      <c r="BI73" t="str">
        <f ca="1">IFERROR(IF(0=LEN(ReferenceData!$BI$73),"",ReferenceData!$BI$73),"")</f>
        <v/>
      </c>
      <c r="BJ73">
        <f ca="1">IFERROR(IF(0=LEN(ReferenceData!$BJ$73),"",ReferenceData!$BJ$73),"")</f>
        <v>139000</v>
      </c>
      <c r="BK73" t="str">
        <f ca="1">IFERROR(IF(0=LEN(ReferenceData!$BK$73),"",ReferenceData!$BK$73),"")</f>
        <v/>
      </c>
      <c r="BL73" t="str">
        <f ca="1">IFERROR(IF(0=LEN(ReferenceData!$BL$73),"",ReferenceData!$BL$73),"")</f>
        <v/>
      </c>
      <c r="BM73" t="str">
        <f ca="1">IFERROR(IF(0=LEN(ReferenceData!$BM$73),"",ReferenceData!$BM$73),"")</f>
        <v/>
      </c>
    </row>
    <row r="74" spans="1:65">
      <c r="A74" t="str">
        <f>IFERROR(IF(0=LEN(ReferenceData!$A$74),"",ReferenceData!$A$74),"")</f>
        <v xml:space="preserve">    Regions Financial Corp</v>
      </c>
      <c r="B74" t="str">
        <f>IFERROR(IF(0=LEN(ReferenceData!$B$74),"",ReferenceData!$B$74),"")</f>
        <v>RF US Equity</v>
      </c>
      <c r="C74" t="str">
        <f>IFERROR(IF(0=LEN(ReferenceData!$C$74),"",ReferenceData!$C$74),"")</f>
        <v>BS962</v>
      </c>
      <c r="D74" t="str">
        <f>IFERROR(IF(0=LEN(ReferenceData!$D$74),"",ReferenceData!$D$74),"")</f>
        <v>BS_RSD_MTG_SRVC_PORTFOLIO</v>
      </c>
      <c r="E74" t="str">
        <f>IFERROR(IF(0=LEN(ReferenceData!$E$74),"",ReferenceData!$E$74),"")</f>
        <v>Dynamic</v>
      </c>
      <c r="F74" t="str">
        <f ca="1">IFERROR(IF(0=LEN(ReferenceData!$F$74),"",ReferenceData!$F$74),"")</f>
        <v/>
      </c>
      <c r="G74" t="str">
        <f ca="1">IFERROR(IF(0=LEN(ReferenceData!$G$74),"",ReferenceData!$G$74),"")</f>
        <v/>
      </c>
      <c r="H74" t="str">
        <f ca="1">IFERROR(IF(0=LEN(ReferenceData!$H$74),"",ReferenceData!$H$74),"")</f>
        <v/>
      </c>
      <c r="I74" t="str">
        <f ca="1">IFERROR(IF(0=LEN(ReferenceData!$I$74),"",ReferenceData!$I$74),"")</f>
        <v/>
      </c>
      <c r="J74" t="str">
        <f ca="1">IFERROR(IF(0=LEN(ReferenceData!$J$74),"",ReferenceData!$J$74),"")</f>
        <v/>
      </c>
      <c r="K74" t="str">
        <f ca="1">IFERROR(IF(0=LEN(ReferenceData!$K$74),"",ReferenceData!$K$74),"")</f>
        <v/>
      </c>
      <c r="L74" t="str">
        <f ca="1">IFERROR(IF(0=LEN(ReferenceData!$L$74),"",ReferenceData!$L$74),"")</f>
        <v/>
      </c>
      <c r="M74" t="str">
        <f ca="1">IFERROR(IF(0=LEN(ReferenceData!$M$74),"",ReferenceData!$M$74),"")</f>
        <v/>
      </c>
      <c r="N74" t="str">
        <f ca="1">IFERROR(IF(0=LEN(ReferenceData!$N$74),"",ReferenceData!$N$74),"")</f>
        <v/>
      </c>
      <c r="O74" t="str">
        <f ca="1">IFERROR(IF(0=LEN(ReferenceData!$O$74),"",ReferenceData!$O$74),"")</f>
        <v/>
      </c>
      <c r="P74" t="str">
        <f ca="1">IFERROR(IF(0=LEN(ReferenceData!$P$74),"",ReferenceData!$P$74),"")</f>
        <v/>
      </c>
      <c r="Q74" t="str">
        <f ca="1">IFERROR(IF(0=LEN(ReferenceData!$Q$74),"",ReferenceData!$Q$74),"")</f>
        <v/>
      </c>
      <c r="R74" t="str">
        <f ca="1">IFERROR(IF(0=LEN(ReferenceData!$R$74),"",ReferenceData!$R$74),"")</f>
        <v/>
      </c>
      <c r="S74" t="str">
        <f ca="1">IFERROR(IF(0=LEN(ReferenceData!$S$74),"",ReferenceData!$S$74),"")</f>
        <v/>
      </c>
      <c r="T74" t="str">
        <f ca="1">IFERROR(IF(0=LEN(ReferenceData!$T$74),"",ReferenceData!$T$74),"")</f>
        <v/>
      </c>
      <c r="U74" t="str">
        <f ca="1">IFERROR(IF(0=LEN(ReferenceData!$U$74),"",ReferenceData!$U$74),"")</f>
        <v/>
      </c>
      <c r="V74" t="str">
        <f ca="1">IFERROR(IF(0=LEN(ReferenceData!$V$74),"",ReferenceData!$V$74),"")</f>
        <v/>
      </c>
      <c r="W74" t="str">
        <f ca="1">IFERROR(IF(0=LEN(ReferenceData!$W$74),"",ReferenceData!$W$74),"")</f>
        <v/>
      </c>
      <c r="X74" t="str">
        <f ca="1">IFERROR(IF(0=LEN(ReferenceData!$X$74),"",ReferenceData!$X$74),"")</f>
        <v/>
      </c>
      <c r="Y74" t="str">
        <f ca="1">IFERROR(IF(0=LEN(ReferenceData!$Y$74),"",ReferenceData!$Y$74),"")</f>
        <v/>
      </c>
      <c r="Z74" t="str">
        <f ca="1">IFERROR(IF(0=LEN(ReferenceData!$Z$74),"",ReferenceData!$Z$74),"")</f>
        <v/>
      </c>
      <c r="AA74" t="str">
        <f ca="1">IFERROR(IF(0=LEN(ReferenceData!$AA$74),"",ReferenceData!$AA$74),"")</f>
        <v/>
      </c>
      <c r="AB74" t="str">
        <f ca="1">IFERROR(IF(0=LEN(ReferenceData!$AB$74),"",ReferenceData!$AB$74),"")</f>
        <v/>
      </c>
      <c r="AC74" t="str">
        <f ca="1">IFERROR(IF(0=LEN(ReferenceData!$AC$74),"",ReferenceData!$AC$74),"")</f>
        <v/>
      </c>
      <c r="AD74" t="str">
        <f ca="1">IFERROR(IF(0=LEN(ReferenceData!$AD$74),"",ReferenceData!$AD$74),"")</f>
        <v/>
      </c>
      <c r="AE74" t="str">
        <f ca="1">IFERROR(IF(0=LEN(ReferenceData!$AE$74),"",ReferenceData!$AE$74),"")</f>
        <v/>
      </c>
      <c r="AF74" t="str">
        <f ca="1">IFERROR(IF(0=LEN(ReferenceData!$AF$74),"",ReferenceData!$AF$74),"")</f>
        <v/>
      </c>
      <c r="AG74" t="str">
        <f ca="1">IFERROR(IF(0=LEN(ReferenceData!$AG$74),"",ReferenceData!$AG$74),"")</f>
        <v/>
      </c>
      <c r="AH74" t="str">
        <f ca="1">IFERROR(IF(0=LEN(ReferenceData!$AH$74),"",ReferenceData!$AH$74),"")</f>
        <v/>
      </c>
      <c r="AI74" t="str">
        <f ca="1">IFERROR(IF(0=LEN(ReferenceData!$AI$74),"",ReferenceData!$AI$74),"")</f>
        <v/>
      </c>
      <c r="AJ74" t="str">
        <f ca="1">IFERROR(IF(0=LEN(ReferenceData!$AJ$74),"",ReferenceData!$AJ$74),"")</f>
        <v/>
      </c>
      <c r="AK74" t="str">
        <f ca="1">IFERROR(IF(0=LEN(ReferenceData!$AK$74),"",ReferenceData!$AK$74),"")</f>
        <v/>
      </c>
      <c r="AL74" t="str">
        <f ca="1">IFERROR(IF(0=LEN(ReferenceData!$AL$74),"",ReferenceData!$AL$74),"")</f>
        <v/>
      </c>
      <c r="AM74" t="str">
        <f ca="1">IFERROR(IF(0=LEN(ReferenceData!$AM$74),"",ReferenceData!$AM$74),"")</f>
        <v/>
      </c>
      <c r="AN74" t="str">
        <f ca="1">IFERROR(IF(0=LEN(ReferenceData!$AN$74),"",ReferenceData!$AN$74),"")</f>
        <v/>
      </c>
      <c r="AO74" t="str">
        <f ca="1">IFERROR(IF(0=LEN(ReferenceData!$AO$74),"",ReferenceData!$AO$74),"")</f>
        <v/>
      </c>
      <c r="AP74" t="str">
        <f ca="1">IFERROR(IF(0=LEN(ReferenceData!$AP$74),"",ReferenceData!$AP$74),"")</f>
        <v/>
      </c>
      <c r="AQ74" t="str">
        <f ca="1">IFERROR(IF(0=LEN(ReferenceData!$AQ$74),"",ReferenceData!$AQ$74),"")</f>
        <v/>
      </c>
      <c r="AR74" t="str">
        <f ca="1">IFERROR(IF(0=LEN(ReferenceData!$AR$74),"",ReferenceData!$AR$74),"")</f>
        <v/>
      </c>
      <c r="AS74" t="str">
        <f ca="1">IFERROR(IF(0=LEN(ReferenceData!$AS$74),"",ReferenceData!$AS$74),"")</f>
        <v/>
      </c>
      <c r="AT74" t="str">
        <f ca="1">IFERROR(IF(0=LEN(ReferenceData!$AT$74),"",ReferenceData!$AT$74),"")</f>
        <v/>
      </c>
      <c r="AU74" t="str">
        <f ca="1">IFERROR(IF(0=LEN(ReferenceData!$AU$74),"",ReferenceData!$AU$74),"")</f>
        <v/>
      </c>
      <c r="AV74" t="str">
        <f ca="1">IFERROR(IF(0=LEN(ReferenceData!$AV$74),"",ReferenceData!$AV$74),"")</f>
        <v/>
      </c>
      <c r="AW74" t="str">
        <f ca="1">IFERROR(IF(0=LEN(ReferenceData!$AW$74),"",ReferenceData!$AW$74),"")</f>
        <v/>
      </c>
      <c r="AX74">
        <f ca="1">IFERROR(IF(0=LEN(ReferenceData!$AX$74),"",ReferenceData!$AX$74),"")</f>
        <v>28500</v>
      </c>
      <c r="AY74" t="str">
        <f ca="1">IFERROR(IF(0=LEN(ReferenceData!$AY$74),"",ReferenceData!$AY$74),"")</f>
        <v/>
      </c>
      <c r="AZ74" t="str">
        <f ca="1">IFERROR(IF(0=LEN(ReferenceData!$AZ$74),"",ReferenceData!$AZ$74),"")</f>
        <v/>
      </c>
      <c r="BA74" t="str">
        <f ca="1">IFERROR(IF(0=LEN(ReferenceData!$BA$74),"",ReferenceData!$BA$74),"")</f>
        <v/>
      </c>
      <c r="BB74">
        <f ca="1">IFERROR(IF(0=LEN(ReferenceData!$BB$74),"",ReferenceData!$BB$74),"")</f>
        <v>26200</v>
      </c>
      <c r="BC74" t="str">
        <f ca="1">IFERROR(IF(0=LEN(ReferenceData!$BC$74),"",ReferenceData!$BC$74),"")</f>
        <v/>
      </c>
      <c r="BD74" t="str">
        <f ca="1">IFERROR(IF(0=LEN(ReferenceData!$BD$74),"",ReferenceData!$BD$74),"")</f>
        <v/>
      </c>
      <c r="BE74" t="str">
        <f ca="1">IFERROR(IF(0=LEN(ReferenceData!$BE$74),"",ReferenceData!$BE$74),"")</f>
        <v/>
      </c>
      <c r="BF74">
        <f ca="1">IFERROR(IF(0=LEN(ReferenceData!$BF$74),"",ReferenceData!$BF$74),"")</f>
        <v>41100</v>
      </c>
      <c r="BG74" t="str">
        <f ca="1">IFERROR(IF(0=LEN(ReferenceData!$BG$74),"",ReferenceData!$BG$74),"")</f>
        <v/>
      </c>
      <c r="BH74" t="str">
        <f ca="1">IFERROR(IF(0=LEN(ReferenceData!$BH$74),"",ReferenceData!$BH$74),"")</f>
        <v/>
      </c>
      <c r="BI74" t="str">
        <f ca="1">IFERROR(IF(0=LEN(ReferenceData!$BI$74),"",ReferenceData!$BI$74),"")</f>
        <v/>
      </c>
      <c r="BJ74">
        <f ca="1">IFERROR(IF(0=LEN(ReferenceData!$BJ$74),"",ReferenceData!$BJ$74),"")</f>
        <v>41700</v>
      </c>
      <c r="BK74" t="str">
        <f ca="1">IFERROR(IF(0=LEN(ReferenceData!$BK$74),"",ReferenceData!$BK$74),"")</f>
        <v/>
      </c>
      <c r="BL74" t="str">
        <f ca="1">IFERROR(IF(0=LEN(ReferenceData!$BL$74),"",ReferenceData!$BL$74),"")</f>
        <v/>
      </c>
      <c r="BM74" t="str">
        <f ca="1">IFERROR(IF(0=LEN(ReferenceData!$BM$74),"",ReferenceData!$BM$74),"")</f>
        <v/>
      </c>
    </row>
    <row r="75" spans="1:65">
      <c r="A75" t="str">
        <f>IFERROR(IF(0=LEN(ReferenceData!$A$75),"",ReferenceData!$A$75),"")</f>
        <v xml:space="preserve">    Signature Bank/New York NY</v>
      </c>
      <c r="B75" t="str">
        <f>IFERROR(IF(0=LEN(ReferenceData!$B$75),"",ReferenceData!$B$75),"")</f>
        <v>SBNY US Equity</v>
      </c>
      <c r="C75" t="str">
        <f>IFERROR(IF(0=LEN(ReferenceData!$C$75),"",ReferenceData!$C$75),"")</f>
        <v>BS962</v>
      </c>
      <c r="D75" t="str">
        <f>IFERROR(IF(0=LEN(ReferenceData!$D$75),"",ReferenceData!$D$75),"")</f>
        <v>BS_RSD_MTG_SRVC_PORTFOLIO</v>
      </c>
      <c r="E75" t="str">
        <f>IFERROR(IF(0=LEN(ReferenceData!$E$75),"",ReferenceData!$E$75),"")</f>
        <v>Dynamic</v>
      </c>
      <c r="F75" t="str">
        <f ca="1">IFERROR(IF(0=LEN(ReferenceData!$F$75),"",ReferenceData!$F$75),"")</f>
        <v/>
      </c>
      <c r="G75" t="str">
        <f ca="1">IFERROR(IF(0=LEN(ReferenceData!$G$75),"",ReferenceData!$G$75),"")</f>
        <v/>
      </c>
      <c r="H75" t="str">
        <f ca="1">IFERROR(IF(0=LEN(ReferenceData!$H$75),"",ReferenceData!$H$75),"")</f>
        <v/>
      </c>
      <c r="I75" t="str">
        <f ca="1">IFERROR(IF(0=LEN(ReferenceData!$I$75),"",ReferenceData!$I$75),"")</f>
        <v/>
      </c>
      <c r="J75" t="str">
        <f ca="1">IFERROR(IF(0=LEN(ReferenceData!$J$75),"",ReferenceData!$J$75),"")</f>
        <v/>
      </c>
      <c r="K75" t="str">
        <f ca="1">IFERROR(IF(0=LEN(ReferenceData!$K$75),"",ReferenceData!$K$75),"")</f>
        <v/>
      </c>
      <c r="L75" t="str">
        <f ca="1">IFERROR(IF(0=LEN(ReferenceData!$L$75),"",ReferenceData!$L$75),"")</f>
        <v/>
      </c>
      <c r="M75" t="str">
        <f ca="1">IFERROR(IF(0=LEN(ReferenceData!$M$75),"",ReferenceData!$M$75),"")</f>
        <v/>
      </c>
      <c r="N75" t="str">
        <f ca="1">IFERROR(IF(0=LEN(ReferenceData!$N$75),"",ReferenceData!$N$75),"")</f>
        <v/>
      </c>
      <c r="O75" t="str">
        <f ca="1">IFERROR(IF(0=LEN(ReferenceData!$O$75),"",ReferenceData!$O$75),"")</f>
        <v/>
      </c>
      <c r="P75" t="str">
        <f ca="1">IFERROR(IF(0=LEN(ReferenceData!$P$75),"",ReferenceData!$P$75),"")</f>
        <v/>
      </c>
      <c r="Q75" t="str">
        <f ca="1">IFERROR(IF(0=LEN(ReferenceData!$Q$75),"",ReferenceData!$Q$75),"")</f>
        <v/>
      </c>
      <c r="R75" t="str">
        <f ca="1">IFERROR(IF(0=LEN(ReferenceData!$R$75),"",ReferenceData!$R$75),"")</f>
        <v/>
      </c>
      <c r="S75" t="str">
        <f ca="1">IFERROR(IF(0=LEN(ReferenceData!$S$75),"",ReferenceData!$S$75),"")</f>
        <v/>
      </c>
      <c r="T75" t="str">
        <f ca="1">IFERROR(IF(0=LEN(ReferenceData!$T$75),"",ReferenceData!$T$75),"")</f>
        <v/>
      </c>
      <c r="U75" t="str">
        <f ca="1">IFERROR(IF(0=LEN(ReferenceData!$U$75),"",ReferenceData!$U$75),"")</f>
        <v/>
      </c>
      <c r="V75" t="str">
        <f ca="1">IFERROR(IF(0=LEN(ReferenceData!$V$75),"",ReferenceData!$V$75),"")</f>
        <v/>
      </c>
      <c r="W75" t="str">
        <f ca="1">IFERROR(IF(0=LEN(ReferenceData!$W$75),"",ReferenceData!$W$75),"")</f>
        <v/>
      </c>
      <c r="X75" t="str">
        <f ca="1">IFERROR(IF(0=LEN(ReferenceData!$X$75),"",ReferenceData!$X$75),"")</f>
        <v/>
      </c>
      <c r="Y75" t="str">
        <f ca="1">IFERROR(IF(0=LEN(ReferenceData!$Y$75),"",ReferenceData!$Y$75),"")</f>
        <v/>
      </c>
      <c r="Z75" t="str">
        <f ca="1">IFERROR(IF(0=LEN(ReferenceData!$Z$75),"",ReferenceData!$Z$75),"")</f>
        <v/>
      </c>
      <c r="AA75" t="str">
        <f ca="1">IFERROR(IF(0=LEN(ReferenceData!$AA$75),"",ReferenceData!$AA$75),"")</f>
        <v/>
      </c>
      <c r="AB75" t="str">
        <f ca="1">IFERROR(IF(0=LEN(ReferenceData!$AB$75),"",ReferenceData!$AB$75),"")</f>
        <v/>
      </c>
      <c r="AC75" t="str">
        <f ca="1">IFERROR(IF(0=LEN(ReferenceData!$AC$75),"",ReferenceData!$AC$75),"")</f>
        <v/>
      </c>
      <c r="AD75" t="str">
        <f ca="1">IFERROR(IF(0=LEN(ReferenceData!$AD$75),"",ReferenceData!$AD$75),"")</f>
        <v/>
      </c>
      <c r="AE75" t="str">
        <f ca="1">IFERROR(IF(0=LEN(ReferenceData!$AE$75),"",ReferenceData!$AE$75),"")</f>
        <v/>
      </c>
      <c r="AF75" t="str">
        <f ca="1">IFERROR(IF(0=LEN(ReferenceData!$AF$75),"",ReferenceData!$AF$75),"")</f>
        <v/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  <c r="AT75" t="str">
        <f ca="1">IFERROR(IF(0=LEN(ReferenceData!$AT$75),"",ReferenceData!$AT$75),"")</f>
        <v/>
      </c>
      <c r="AU75" t="str">
        <f ca="1">IFERROR(IF(0=LEN(ReferenceData!$AU$75),"",ReferenceData!$AU$75),"")</f>
        <v/>
      </c>
      <c r="AV75" t="str">
        <f ca="1">IFERROR(IF(0=LEN(ReferenceData!$AV$75),"",ReferenceData!$AV$75),"")</f>
        <v/>
      </c>
      <c r="AW75" t="str">
        <f ca="1">IFERROR(IF(0=LEN(ReferenceData!$AW$75),"",ReferenceData!$AW$75),"")</f>
        <v/>
      </c>
      <c r="AX75" t="str">
        <f ca="1">IFERROR(IF(0=LEN(ReferenceData!$AX$75),"",ReferenceData!$AX$75),"")</f>
        <v/>
      </c>
      <c r="AY75" t="str">
        <f ca="1">IFERROR(IF(0=LEN(ReferenceData!$AY$75),"",ReferenceData!$AY$75),"")</f>
        <v/>
      </c>
      <c r="AZ75" t="str">
        <f ca="1">IFERROR(IF(0=LEN(ReferenceData!$AZ$75),"",ReferenceData!$AZ$75),"")</f>
        <v/>
      </c>
      <c r="BA75" t="str">
        <f ca="1">IFERROR(IF(0=LEN(ReferenceData!$BA$75),"",ReferenceData!$BA$75),"")</f>
        <v/>
      </c>
      <c r="BB75" t="str">
        <f ca="1">IFERROR(IF(0=LEN(ReferenceData!$BB$75),"",ReferenceData!$BB$75),"")</f>
        <v/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>
      <c r="A76" t="str">
        <f>IFERROR(IF(0=LEN(ReferenceData!$A$76),"",ReferenceData!$A$76),"")</f>
        <v xml:space="preserve">    SVB Financial Group</v>
      </c>
      <c r="B76" t="str">
        <f>IFERROR(IF(0=LEN(ReferenceData!$B$76),"",ReferenceData!$B$76),"")</f>
        <v>SIVBQ US Equity</v>
      </c>
      <c r="C76" t="str">
        <f>IFERROR(IF(0=LEN(ReferenceData!$C$76),"",ReferenceData!$C$76),"")</f>
        <v>BS962</v>
      </c>
      <c r="D76" t="str">
        <f>IFERROR(IF(0=LEN(ReferenceData!$D$76),"",ReferenceData!$D$76),"")</f>
        <v>BS_RSD_MTG_SRVC_PORTFOLIO</v>
      </c>
      <c r="E76" t="str">
        <f>IFERROR(IF(0=LEN(ReferenceData!$E$76),"",ReferenceData!$E$76),"")</f>
        <v>Dynamic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  <c r="AT76" t="str">
        <f ca="1">IFERROR(IF(0=LEN(ReferenceData!$AT$76),"",ReferenceData!$AT$76),"")</f>
        <v/>
      </c>
      <c r="AU76" t="str">
        <f ca="1">IFERROR(IF(0=LEN(ReferenceData!$AU$76),"",ReferenceData!$AU$76),"")</f>
        <v/>
      </c>
      <c r="AV76" t="str">
        <f ca="1">IFERROR(IF(0=LEN(ReferenceData!$AV$76),"",ReferenceData!$AV$76),"")</f>
        <v/>
      </c>
      <c r="AW76" t="str">
        <f ca="1">IFERROR(IF(0=LEN(ReferenceData!$AW$76),"",ReferenceData!$AW$76),"")</f>
        <v/>
      </c>
      <c r="AX76" t="str">
        <f ca="1">IFERROR(IF(0=LEN(ReferenceData!$AX$76),"",ReferenceData!$AX$76),"")</f>
        <v/>
      </c>
      <c r="AY76" t="str">
        <f ca="1">IFERROR(IF(0=LEN(ReferenceData!$AY$76),"",ReferenceData!$AY$76),"")</f>
        <v/>
      </c>
      <c r="AZ76" t="str">
        <f ca="1">IFERROR(IF(0=LEN(ReferenceData!$AZ$76),"",ReferenceData!$AZ$76),"")</f>
        <v/>
      </c>
      <c r="BA76" t="str">
        <f ca="1">IFERROR(IF(0=LEN(ReferenceData!$BA$76),"",ReferenceData!$BA$76),"")</f>
        <v/>
      </c>
      <c r="BB76" t="str">
        <f ca="1">IFERROR(IF(0=LEN(ReferenceData!$BB$76),"",ReferenceData!$BB$76),"")</f>
        <v/>
      </c>
      <c r="BC76" t="str">
        <f ca="1">IFERROR(IF(0=LEN(ReferenceData!$BC$76),"",ReferenceData!$BC$76),"")</f>
        <v/>
      </c>
      <c r="BD76" t="str">
        <f ca="1">IFERROR(IF(0=LEN(ReferenceData!$BD$76),"",ReferenceData!$BD$76),"")</f>
        <v/>
      </c>
      <c r="BE76" t="str">
        <f ca="1">IFERROR(IF(0=LEN(ReferenceData!$BE$76),"",ReferenceData!$BE$76),"")</f>
        <v/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>
      <c r="A77" t="str">
        <f>IFERROR(IF(0=LEN(ReferenceData!$A$77),"",ReferenceData!$A$77),"")</f>
        <v xml:space="preserve">    Truist Financial Corp</v>
      </c>
      <c r="B77" t="str">
        <f>IFERROR(IF(0=LEN(ReferenceData!$B$77),"",ReferenceData!$B$77),"")</f>
        <v>TFC US Equity</v>
      </c>
      <c r="C77" t="str">
        <f>IFERROR(IF(0=LEN(ReferenceData!$C$77),"",ReferenceData!$C$77),"")</f>
        <v>BS962</v>
      </c>
      <c r="D77" t="str">
        <f>IFERROR(IF(0=LEN(ReferenceData!$D$77),"",ReferenceData!$D$77),"")</f>
        <v>BS_RSD_MTG_SRVC_PORTFOLIO</v>
      </c>
      <c r="E77" t="str">
        <f>IFERROR(IF(0=LEN(ReferenceData!$E$77),"",ReferenceData!$E$77),"")</f>
        <v>Dynamic</v>
      </c>
      <c r="F77">
        <f ca="1">IFERROR(IF(0=LEN(ReferenceData!$F$77),"",ReferenceData!$F$77),"")</f>
        <v>273412</v>
      </c>
      <c r="G77">
        <f ca="1">IFERROR(IF(0=LEN(ReferenceData!$G$77),"",ReferenceData!$G$77),"")</f>
        <v>275424</v>
      </c>
      <c r="H77">
        <f ca="1">IFERROR(IF(0=LEN(ReferenceData!$H$77),"",ReferenceData!$H$77),"")</f>
        <v>263173</v>
      </c>
      <c r="I77">
        <f ca="1">IFERROR(IF(0=LEN(ReferenceData!$I$77),"",ReferenceData!$I$77),"")</f>
        <v>265890</v>
      </c>
      <c r="J77">
        <f ca="1">IFERROR(IF(0=LEN(ReferenceData!$J$77),"",ReferenceData!$J$77),"")</f>
        <v>269068</v>
      </c>
      <c r="K77">
        <f ca="1">IFERROR(IF(0=LEN(ReferenceData!$K$77),"",ReferenceData!$K$77),"")</f>
        <v>271632</v>
      </c>
      <c r="L77">
        <f ca="1">IFERROR(IF(0=LEN(ReferenceData!$L$77),"",ReferenceData!$L$77),"")</f>
        <v>280064</v>
      </c>
      <c r="M77">
        <f ca="1">IFERROR(IF(0=LEN(ReferenceData!$M$77),"",ReferenceData!$M$77),"")</f>
        <v>272323</v>
      </c>
      <c r="N77">
        <f ca="1">IFERROR(IF(0=LEN(ReferenceData!$N$77),"",ReferenceData!$N$77),"")</f>
        <v>274028</v>
      </c>
      <c r="O77">
        <f ca="1">IFERROR(IF(0=LEN(ReferenceData!$O$77),"",ReferenceData!$O$77),"")</f>
        <v>275526</v>
      </c>
      <c r="P77">
        <f ca="1">IFERROR(IF(0=LEN(ReferenceData!$P$77),"",ReferenceData!$P$77),"")</f>
        <v>262845</v>
      </c>
      <c r="Q77">
        <f ca="1">IFERROR(IF(0=LEN(ReferenceData!$Q$77),"",ReferenceData!$Q$77),"")</f>
        <v>246664</v>
      </c>
      <c r="R77">
        <f ca="1">IFERROR(IF(0=LEN(ReferenceData!$R$77),"",ReferenceData!$R$77),"")</f>
        <v>246727</v>
      </c>
      <c r="S77">
        <f ca="1">IFERROR(IF(0=LEN(ReferenceData!$S$77),"",ReferenceData!$S$77),"")</f>
        <v>248546</v>
      </c>
      <c r="T77">
        <f ca="1">IFERROR(IF(0=LEN(ReferenceData!$T$77),"",ReferenceData!$T$77),"")</f>
        <v>224035</v>
      </c>
      <c r="U77">
        <f ca="1">IFERROR(IF(0=LEN(ReferenceData!$U$77),"",ReferenceData!$U$77),"")</f>
        <v>228636</v>
      </c>
      <c r="V77">
        <f ca="1">IFERROR(IF(0=LEN(ReferenceData!$V$77),"",ReferenceData!$V$77),"")</f>
        <v>239034</v>
      </c>
      <c r="W77">
        <f ca="1">IFERROR(IF(0=LEN(ReferenceData!$W$77),"",ReferenceData!$W$77),"")</f>
        <v>253468</v>
      </c>
      <c r="X77">
        <f ca="1">IFERROR(IF(0=LEN(ReferenceData!$X$77),"",ReferenceData!$X$77),"")</f>
        <v>265435</v>
      </c>
      <c r="Y77">
        <f ca="1">IFERROR(IF(0=LEN(ReferenceData!$Y$77),"",ReferenceData!$Y$77),"")</f>
        <v>276304</v>
      </c>
      <c r="Z77">
        <f ca="1">IFERROR(IF(0=LEN(ReferenceData!$Z$77),"",ReferenceData!$Z$77),"")</f>
        <v>279558</v>
      </c>
      <c r="AA77">
        <f ca="1">IFERROR(IF(0=LEN(ReferenceData!$AA$77),"",ReferenceData!$AA$77),"")</f>
        <v>116269</v>
      </c>
      <c r="AB77">
        <f ca="1">IFERROR(IF(0=LEN(ReferenceData!$AB$77),"",ReferenceData!$AB$77),"")</f>
        <v>117912</v>
      </c>
      <c r="AC77">
        <f ca="1">IFERROR(IF(0=LEN(ReferenceData!$AC$77),"",ReferenceData!$AC$77),"")</f>
        <v>117980</v>
      </c>
      <c r="AD77">
        <f ca="1">IFERROR(IF(0=LEN(ReferenceData!$AD$77),"",ReferenceData!$AD$77),"")</f>
        <v>118605</v>
      </c>
      <c r="AE77">
        <f ca="1">IFERROR(IF(0=LEN(ReferenceData!$AE$77),"",ReferenceData!$AE$77),"")</f>
        <v>119460</v>
      </c>
      <c r="AF77">
        <f ca="1">IFERROR(IF(0=LEN(ReferenceData!$AF$77),"",ReferenceData!$AF$77),"")</f>
        <v>118753</v>
      </c>
      <c r="AG77">
        <f ca="1">IFERROR(IF(0=LEN(ReferenceData!$AG$77),"",ReferenceData!$AG$77),"")</f>
        <v>117827</v>
      </c>
      <c r="AH77">
        <f ca="1">IFERROR(IF(0=LEN(ReferenceData!$AH$77),"",ReferenceData!$AH$77),"")</f>
        <v>118424</v>
      </c>
      <c r="AI77">
        <f ca="1">IFERROR(IF(0=LEN(ReferenceData!$AI$77),"",ReferenceData!$AI$77),"")</f>
        <v>118736</v>
      </c>
      <c r="AJ77">
        <f ca="1">IFERROR(IF(0=LEN(ReferenceData!$AJ$77),"",ReferenceData!$AJ$77),"")</f>
        <v>120173</v>
      </c>
      <c r="AK77">
        <f ca="1">IFERROR(IF(0=LEN(ReferenceData!$AK$77),"",ReferenceData!$AK$77),"")</f>
        <v>121251</v>
      </c>
      <c r="AL77">
        <f ca="1">IFERROR(IF(0=LEN(ReferenceData!$AL$77),"",ReferenceData!$AL$77),"")</f>
        <v>121639</v>
      </c>
      <c r="AM77">
        <f ca="1">IFERROR(IF(0=LEN(ReferenceData!$AM$77),"",ReferenceData!$AM$77),"")</f>
        <v>122460</v>
      </c>
      <c r="AN77">
        <f ca="1">IFERROR(IF(0=LEN(ReferenceData!$AN$77),"",ReferenceData!$AN$77),"")</f>
        <v>122617</v>
      </c>
      <c r="AO77">
        <f ca="1">IFERROR(IF(0=LEN(ReferenceData!$AO$77),"",ReferenceData!$AO$77),"")</f>
        <v>121503</v>
      </c>
      <c r="AP77">
        <f ca="1">IFERROR(IF(0=LEN(ReferenceData!$AP$77),"",ReferenceData!$AP$77),"")</f>
        <v>122169</v>
      </c>
      <c r="AQ77">
        <f ca="1">IFERROR(IF(0=LEN(ReferenceData!$AQ$77),"",ReferenceData!$AQ$77),"")</f>
        <v>122639</v>
      </c>
      <c r="AR77">
        <f ca="1">IFERROR(IF(0=LEN(ReferenceData!$AR$77),"",ReferenceData!$AR$77),"")</f>
        <v>121162</v>
      </c>
      <c r="AS77">
        <f ca="1">IFERROR(IF(0=LEN(ReferenceData!$AS$77),"",ReferenceData!$AS$77),"")</f>
        <v>121079</v>
      </c>
      <c r="AT77">
        <f ca="1">IFERROR(IF(0=LEN(ReferenceData!$AT$77),"",ReferenceData!$AT$77),"")</f>
        <v>122257</v>
      </c>
      <c r="AU77">
        <f ca="1">IFERROR(IF(0=LEN(ReferenceData!$AU$77),"",ReferenceData!$AU$77),"")</f>
        <v>116224</v>
      </c>
      <c r="AV77">
        <f ca="1">IFERROR(IF(0=LEN(ReferenceData!$AV$77),"",ReferenceData!$AV$77),"")</f>
        <v>122749</v>
      </c>
      <c r="AW77">
        <f ca="1">IFERROR(IF(0=LEN(ReferenceData!$AW$77),"",ReferenceData!$AW$77),"")</f>
        <v>121942</v>
      </c>
      <c r="AX77">
        <f ca="1">IFERROR(IF(0=LEN(ReferenceData!$AX$77),"",ReferenceData!$AX$77),"")</f>
        <v>112835</v>
      </c>
      <c r="AY77">
        <f ca="1">IFERROR(IF(0=LEN(ReferenceData!$AY$77),"",ReferenceData!$AY$77),"")</f>
        <v>110807</v>
      </c>
      <c r="AZ77">
        <f ca="1">IFERROR(IF(0=LEN(ReferenceData!$AZ$77),"",ReferenceData!$AZ$77),"")</f>
        <v>107057</v>
      </c>
      <c r="BA77">
        <f ca="1">IFERROR(IF(0=LEN(ReferenceData!$BA$77),"",ReferenceData!$BA$77),"")</f>
        <v>103792</v>
      </c>
      <c r="BB77">
        <f ca="1">IFERROR(IF(0=LEN(ReferenceData!$BB$77),"",ReferenceData!$BB$77),"")</f>
        <v>101270</v>
      </c>
      <c r="BC77">
        <f ca="1">IFERROR(IF(0=LEN(ReferenceData!$BC$77),"",ReferenceData!$BC$77),"")</f>
        <v>99537</v>
      </c>
      <c r="BD77">
        <f ca="1">IFERROR(IF(0=LEN(ReferenceData!$BD$77),"",ReferenceData!$BD$77),"")</f>
        <v>97560</v>
      </c>
      <c r="BE77">
        <f ca="1">IFERROR(IF(0=LEN(ReferenceData!$BE$77),"",ReferenceData!$BE$77),"")</f>
        <v>94626</v>
      </c>
      <c r="BF77">
        <f ca="1">IFERROR(IF(0=LEN(ReferenceData!$BF$77),"",ReferenceData!$BF$77),"")</f>
        <v>91640</v>
      </c>
      <c r="BG77">
        <f ca="1">IFERROR(IF(0=LEN(ReferenceData!$BG$77),"",ReferenceData!$BG$77),"")</f>
        <v>88718</v>
      </c>
      <c r="BH77">
        <f ca="1">IFERROR(IF(0=LEN(ReferenceData!$BH$77),"",ReferenceData!$BH$77),"")</f>
        <v>86828</v>
      </c>
      <c r="BI77">
        <f ca="1">IFERROR(IF(0=LEN(ReferenceData!$BI$77),"",ReferenceData!$BI$77),"")</f>
        <v>86165</v>
      </c>
      <c r="BJ77">
        <f ca="1">IFERROR(IF(0=LEN(ReferenceData!$BJ$77),"",ReferenceData!$BJ$77),"")</f>
        <v>83475</v>
      </c>
      <c r="BK77">
        <f ca="1">IFERROR(IF(0=LEN(ReferenceData!$BK$77),"",ReferenceData!$BK$77),"")</f>
        <v>80538</v>
      </c>
      <c r="BL77">
        <f ca="1">IFERROR(IF(0=LEN(ReferenceData!$BL$77),"",ReferenceData!$BL$77),"")</f>
        <v>77943</v>
      </c>
      <c r="BM77" t="str">
        <f ca="1">IFERROR(IF(0=LEN(ReferenceData!$BM$77),"",ReferenceData!$BM$77),"")</f>
        <v/>
      </c>
    </row>
    <row r="78" spans="1:65">
      <c r="A78" t="str">
        <f>IFERROR(IF(0=LEN(ReferenceData!$A$78),"",ReferenceData!$A$78),"")</f>
        <v xml:space="preserve">    US Bancorp</v>
      </c>
      <c r="B78" t="str">
        <f>IFERROR(IF(0=LEN(ReferenceData!$B$78),"",ReferenceData!$B$78),"")</f>
        <v>USB US Equity</v>
      </c>
      <c r="C78" t="str">
        <f>IFERROR(IF(0=LEN(ReferenceData!$C$78),"",ReferenceData!$C$78),"")</f>
        <v>BS962</v>
      </c>
      <c r="D78" t="str">
        <f>IFERROR(IF(0=LEN(ReferenceData!$D$78),"",ReferenceData!$D$78),"")</f>
        <v>BS_RSD_MTG_SRVC_PORTFOLIO</v>
      </c>
      <c r="E78" t="str">
        <f>IFERROR(IF(0=LEN(ReferenceData!$E$78),"",ReferenceData!$E$78),"")</f>
        <v>Dynamic</v>
      </c>
      <c r="F78" t="str">
        <f ca="1">IFERROR(IF(0=LEN(ReferenceData!$F$78),"",ReferenceData!$F$78),"")</f>
        <v/>
      </c>
      <c r="G78" t="str">
        <f ca="1">IFERROR(IF(0=LEN(ReferenceData!$G$78),"",ReferenceData!$G$78),"")</f>
        <v/>
      </c>
      <c r="H78" t="str">
        <f ca="1">IFERROR(IF(0=LEN(ReferenceData!$H$78),"",ReferenceData!$H$78),"")</f>
        <v/>
      </c>
      <c r="I78" t="str">
        <f ca="1">IFERROR(IF(0=LEN(ReferenceData!$I$78),"",ReferenceData!$I$78),"")</f>
        <v/>
      </c>
      <c r="J78" t="str">
        <f ca="1">IFERROR(IF(0=LEN(ReferenceData!$J$78),"",ReferenceData!$J$78),"")</f>
        <v/>
      </c>
      <c r="K78" t="str">
        <f ca="1">IFERROR(IF(0=LEN(ReferenceData!$K$78),"",ReferenceData!$K$78),"")</f>
        <v/>
      </c>
      <c r="L78" t="str">
        <f ca="1">IFERROR(IF(0=LEN(ReferenceData!$L$78),"",ReferenceData!$L$78),"")</f>
        <v/>
      </c>
      <c r="M78" t="str">
        <f ca="1">IFERROR(IF(0=LEN(ReferenceData!$M$78),"",ReferenceData!$M$78),"")</f>
        <v/>
      </c>
      <c r="N78" t="str">
        <f ca="1">IFERROR(IF(0=LEN(ReferenceData!$N$78),"",ReferenceData!$N$78),"")</f>
        <v/>
      </c>
      <c r="O78" t="str">
        <f ca="1">IFERROR(IF(0=LEN(ReferenceData!$O$78),"",ReferenceData!$O$78),"")</f>
        <v/>
      </c>
      <c r="P78" t="str">
        <f ca="1">IFERROR(IF(0=LEN(ReferenceData!$P$78),"",ReferenceData!$P$78),"")</f>
        <v/>
      </c>
      <c r="Q78" t="str">
        <f ca="1">IFERROR(IF(0=LEN(ReferenceData!$Q$78),"",ReferenceData!$Q$78),"")</f>
        <v/>
      </c>
      <c r="R78" t="str">
        <f ca="1">IFERROR(IF(0=LEN(ReferenceData!$R$78),"",ReferenceData!$R$78),"")</f>
        <v/>
      </c>
      <c r="S78" t="str">
        <f ca="1">IFERROR(IF(0=LEN(ReferenceData!$S$78),"",ReferenceData!$S$78),"")</f>
        <v/>
      </c>
      <c r="T78" t="str">
        <f ca="1">IFERROR(IF(0=LEN(ReferenceData!$T$78),"",ReferenceData!$T$78),"")</f>
        <v/>
      </c>
      <c r="U78" t="str">
        <f ca="1">IFERROR(IF(0=LEN(ReferenceData!$U$78),"",ReferenceData!$U$78),"")</f>
        <v/>
      </c>
      <c r="V78" t="str">
        <f ca="1">IFERROR(IF(0=LEN(ReferenceData!$V$78),"",ReferenceData!$V$78),"")</f>
        <v/>
      </c>
      <c r="W78" t="str">
        <f ca="1">IFERROR(IF(0=LEN(ReferenceData!$W$78),"",ReferenceData!$W$78),"")</f>
        <v/>
      </c>
      <c r="X78" t="str">
        <f ca="1">IFERROR(IF(0=LEN(ReferenceData!$X$78),"",ReferenceData!$X$78),"")</f>
        <v/>
      </c>
      <c r="Y78" t="str">
        <f ca="1">IFERROR(IF(0=LEN(ReferenceData!$Y$78),"",ReferenceData!$Y$78),"")</f>
        <v/>
      </c>
      <c r="Z78" t="str">
        <f ca="1">IFERROR(IF(0=LEN(ReferenceData!$Z$78),"",ReferenceData!$Z$78),"")</f>
        <v/>
      </c>
      <c r="AA78" t="str">
        <f ca="1">IFERROR(IF(0=LEN(ReferenceData!$AA$78),"",ReferenceData!$AA$78),"")</f>
        <v/>
      </c>
      <c r="AB78" t="str">
        <f ca="1">IFERROR(IF(0=LEN(ReferenceData!$AB$78),"",ReferenceData!$AB$78),"")</f>
        <v/>
      </c>
      <c r="AC78" t="str">
        <f ca="1">IFERROR(IF(0=LEN(ReferenceData!$AC$78),"",ReferenceData!$AC$78),"")</f>
        <v/>
      </c>
      <c r="AD78" t="str">
        <f ca="1">IFERROR(IF(0=LEN(ReferenceData!$AD$78),"",ReferenceData!$AD$78),"")</f>
        <v/>
      </c>
      <c r="AE78" t="str">
        <f ca="1">IFERROR(IF(0=LEN(ReferenceData!$AE$78),"",ReferenceData!$AE$78),"")</f>
        <v/>
      </c>
      <c r="AF78" t="str">
        <f ca="1">IFERROR(IF(0=LEN(ReferenceData!$AF$78),"",ReferenceData!$AF$78),"")</f>
        <v/>
      </c>
      <c r="AG78" t="str">
        <f ca="1">IFERROR(IF(0=LEN(ReferenceData!$AG$78),"",ReferenceData!$AG$78),"")</f>
        <v/>
      </c>
      <c r="AH78" t="str">
        <f ca="1">IFERROR(IF(0=LEN(ReferenceData!$AH$78),"",ReferenceData!$AH$78),"")</f>
        <v/>
      </c>
      <c r="AI78" t="str">
        <f ca="1">IFERROR(IF(0=LEN(ReferenceData!$AI$78),"",ReferenceData!$AI$78),"")</f>
        <v/>
      </c>
      <c r="AJ78" t="str">
        <f ca="1">IFERROR(IF(0=LEN(ReferenceData!$AJ$78),"",ReferenceData!$AJ$78),"")</f>
        <v/>
      </c>
      <c r="AK78" t="str">
        <f ca="1">IFERROR(IF(0=LEN(ReferenceData!$AK$78),"",ReferenceData!$AK$78),"")</f>
        <v/>
      </c>
      <c r="AL78" t="str">
        <f ca="1">IFERROR(IF(0=LEN(ReferenceData!$AL$78),"",ReferenceData!$AL$78),"")</f>
        <v/>
      </c>
      <c r="AM78" t="str">
        <f ca="1">IFERROR(IF(0=LEN(ReferenceData!$AM$78),"",ReferenceData!$AM$78),"")</f>
        <v/>
      </c>
      <c r="AN78" t="str">
        <f ca="1">IFERROR(IF(0=LEN(ReferenceData!$AN$78),"",ReferenceData!$AN$78),"")</f>
        <v/>
      </c>
      <c r="AO78" t="str">
        <f ca="1">IFERROR(IF(0=LEN(ReferenceData!$AO$78),"",ReferenceData!$AO$78),"")</f>
        <v/>
      </c>
      <c r="AP78" t="str">
        <f ca="1">IFERROR(IF(0=LEN(ReferenceData!$AP$78),"",ReferenceData!$AP$78),"")</f>
        <v/>
      </c>
      <c r="AQ78" t="str">
        <f ca="1">IFERROR(IF(0=LEN(ReferenceData!$AQ$78),"",ReferenceData!$AQ$78),"")</f>
        <v/>
      </c>
      <c r="AR78" t="str">
        <f ca="1">IFERROR(IF(0=LEN(ReferenceData!$AR$78),"",ReferenceData!$AR$78),"")</f>
        <v/>
      </c>
      <c r="AS78" t="str">
        <f ca="1">IFERROR(IF(0=LEN(ReferenceData!$AS$78),"",ReferenceData!$AS$78),"")</f>
        <v/>
      </c>
      <c r="AT78" t="str">
        <f ca="1">IFERROR(IF(0=LEN(ReferenceData!$AT$78),"",ReferenceData!$AT$78),"")</f>
        <v/>
      </c>
      <c r="AU78" t="str">
        <f ca="1">IFERROR(IF(0=LEN(ReferenceData!$AU$78),"",ReferenceData!$AU$78),"")</f>
        <v/>
      </c>
      <c r="AV78" t="str">
        <f ca="1">IFERROR(IF(0=LEN(ReferenceData!$AV$78),"",ReferenceData!$AV$78),"")</f>
        <v/>
      </c>
      <c r="AW78" t="str">
        <f ca="1">IFERROR(IF(0=LEN(ReferenceData!$AW$78),"",ReferenceData!$AW$78),"")</f>
        <v/>
      </c>
      <c r="AX78" t="str">
        <f ca="1">IFERROR(IF(0=LEN(ReferenceData!$AX$78),"",ReferenceData!$AX$78),"")</f>
        <v/>
      </c>
      <c r="AY78" t="str">
        <f ca="1">IFERROR(IF(0=LEN(ReferenceData!$AY$78),"",ReferenceData!$AY$78),"")</f>
        <v/>
      </c>
      <c r="AZ78" t="str">
        <f ca="1">IFERROR(IF(0=LEN(ReferenceData!$AZ$78),"",ReferenceData!$AZ$78),"")</f>
        <v/>
      </c>
      <c r="BA78" t="str">
        <f ca="1">IFERROR(IF(0=LEN(ReferenceData!$BA$78),"",ReferenceData!$BA$78),"")</f>
        <v/>
      </c>
      <c r="BB78" t="str">
        <f ca="1">IFERROR(IF(0=LEN(ReferenceData!$BB$78),"",ReferenceData!$BB$78),"")</f>
        <v/>
      </c>
      <c r="BC78" t="str">
        <f ca="1">IFERROR(IF(0=LEN(ReferenceData!$BC$78),"",ReferenceData!$BC$78),"")</f>
        <v/>
      </c>
      <c r="BD78" t="str">
        <f ca="1">IFERROR(IF(0=LEN(ReferenceData!$BD$78),"",ReferenceData!$BD$78),"")</f>
        <v/>
      </c>
      <c r="BE78" t="str">
        <f ca="1">IFERROR(IF(0=LEN(ReferenceData!$BE$78),"",ReferenceData!$BE$78),"")</f>
        <v/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>
      <c r="A79" t="str">
        <f>IFERROR(IF(0=LEN(ReferenceData!$A$79),"",ReferenceData!$A$79),"")</f>
        <v xml:space="preserve">    Wells Fargo &amp; Co</v>
      </c>
      <c r="B79" t="str">
        <f>IFERROR(IF(0=LEN(ReferenceData!$B$79),"",ReferenceData!$B$79),"")</f>
        <v>WFC US Equity</v>
      </c>
      <c r="C79" t="str">
        <f>IFERROR(IF(0=LEN(ReferenceData!$C$79),"",ReferenceData!$C$79),"")</f>
        <v>BS962</v>
      </c>
      <c r="D79" t="str">
        <f>IFERROR(IF(0=LEN(ReferenceData!$D$79),"",ReferenceData!$D$79),"")</f>
        <v>BS_RSD_MTG_SRVC_PORTFOLIO</v>
      </c>
      <c r="E79" t="str">
        <f>IFERROR(IF(0=LEN(ReferenceData!$E$79),"",ReferenceData!$E$79),"")</f>
        <v>Dynamic</v>
      </c>
      <c r="F79">
        <f ca="1">IFERROR(IF(0=LEN(ReferenceData!$F$79),"",ReferenceData!$F$79),"")</f>
        <v>487000</v>
      </c>
      <c r="G79">
        <f ca="1">IFERROR(IF(0=LEN(ReferenceData!$G$79),"",ReferenceData!$G$79),"")</f>
        <v>754000</v>
      </c>
      <c r="H79">
        <f ca="1">IFERROR(IF(0=LEN(ReferenceData!$H$79),"",ReferenceData!$H$79),"")</f>
        <v>771000</v>
      </c>
      <c r="I79">
        <f ca="1">IFERROR(IF(0=LEN(ReferenceData!$I$79),"",ReferenceData!$I$79),"")</f>
        <v>795000</v>
      </c>
      <c r="J79">
        <f ca="1">IFERROR(IF(0=LEN(ReferenceData!$J$79),"",ReferenceData!$J$79),"")</f>
        <v>560000</v>
      </c>
      <c r="K79">
        <f ca="1">IFERROR(IF(0=LEN(ReferenceData!$K$79),"",ReferenceData!$K$79),"")</f>
        <v>857000</v>
      </c>
      <c r="L79">
        <f ca="1">IFERROR(IF(0=LEN(ReferenceData!$L$79),"",ReferenceData!$L$79),"")</f>
        <v>904000</v>
      </c>
      <c r="M79">
        <f ca="1">IFERROR(IF(0=LEN(ReferenceData!$M$79),"",ReferenceData!$M$79),"")</f>
        <v>938000</v>
      </c>
      <c r="N79">
        <f ca="1">IFERROR(IF(0=LEN(ReferenceData!$N$79),"",ReferenceData!$N$79),"")</f>
        <v>954000</v>
      </c>
      <c r="O79">
        <f ca="1">IFERROR(IF(0=LEN(ReferenceData!$O$79),"",ReferenceData!$O$79),"")</f>
        <v>962000</v>
      </c>
      <c r="P79">
        <f ca="1">IFERROR(IF(0=LEN(ReferenceData!$P$79),"",ReferenceData!$P$79),"")</f>
        <v>973000</v>
      </c>
      <c r="Q79">
        <f ca="1">IFERROR(IF(0=LEN(ReferenceData!$Q$79),"",ReferenceData!$Q$79),"")</f>
        <v>978000</v>
      </c>
      <c r="R79">
        <f ca="1">IFERROR(IF(0=LEN(ReferenceData!$R$79),"",ReferenceData!$R$79),"")</f>
        <v>994000</v>
      </c>
      <c r="S79">
        <f ca="1">IFERROR(IF(0=LEN(ReferenceData!$S$79),"",ReferenceData!$S$79),"")</f>
        <v>1021000</v>
      </c>
      <c r="T79">
        <f ca="1">IFERROR(IF(0=LEN(ReferenceData!$T$79),"",ReferenceData!$T$79),"")</f>
        <v>1055000</v>
      </c>
      <c r="U79">
        <f ca="1">IFERROR(IF(0=LEN(ReferenceData!$U$79),"",ReferenceData!$U$79),"")</f>
        <v>1106000</v>
      </c>
      <c r="V79">
        <f ca="1">IFERROR(IF(0=LEN(ReferenceData!$V$79),"",ReferenceData!$V$79),"")</f>
        <v>1182000</v>
      </c>
      <c r="W79">
        <f ca="1">IFERROR(IF(0=LEN(ReferenceData!$W$79),"",ReferenceData!$W$79),"")</f>
        <v>1262000</v>
      </c>
      <c r="X79">
        <f ca="1">IFERROR(IF(0=LEN(ReferenceData!$X$79),"",ReferenceData!$X$79),"")</f>
        <v>1327000</v>
      </c>
      <c r="Y79">
        <f ca="1">IFERROR(IF(0=LEN(ReferenceData!$Y$79),"",ReferenceData!$Y$79),"")</f>
        <v>1382000</v>
      </c>
      <c r="Z79">
        <f ca="1">IFERROR(IF(0=LEN(ReferenceData!$Z$79),"",ReferenceData!$Z$79),"")</f>
        <v>1408000</v>
      </c>
      <c r="AA79">
        <f ca="1">IFERROR(IF(0=LEN(ReferenceData!$AA$79),"",ReferenceData!$AA$79),"")</f>
        <v>1432000</v>
      </c>
      <c r="AB79">
        <f ca="1">IFERROR(IF(0=LEN(ReferenceData!$AB$79),"",ReferenceData!$AB$79),"")</f>
        <v>1452000</v>
      </c>
      <c r="AC79">
        <f ca="1">IFERROR(IF(0=LEN(ReferenceData!$AC$79),"",ReferenceData!$AC$79),"")</f>
        <v>1482000</v>
      </c>
      <c r="AD79">
        <f ca="1">IFERROR(IF(0=LEN(ReferenceData!$AD$79),"",ReferenceData!$AD$79),"")</f>
        <v>1502</v>
      </c>
      <c r="AE79">
        <f ca="1">IFERROR(IF(0=LEN(ReferenceData!$AE$79),"",ReferenceData!$AE$79),"")</f>
        <v>1526000</v>
      </c>
      <c r="AF79">
        <f ca="1">IFERROR(IF(0=LEN(ReferenceData!$AF$79),"",ReferenceData!$AF$79),"")</f>
        <v>1534000</v>
      </c>
      <c r="AG79">
        <f ca="1">IFERROR(IF(0=LEN(ReferenceData!$AG$79),"",ReferenceData!$AG$79),"")</f>
        <v>1543000</v>
      </c>
      <c r="AH79">
        <f ca="1">IFERROR(IF(0=LEN(ReferenceData!$AH$79),"",ReferenceData!$AH$79),"")</f>
        <v>1554000</v>
      </c>
      <c r="AI79">
        <f ca="1">IFERROR(IF(0=LEN(ReferenceData!$AI$79),"",ReferenceData!$AI$79),"")</f>
        <v>1566000</v>
      </c>
      <c r="AJ79">
        <f ca="1">IFERROR(IF(0=LEN(ReferenceData!$AJ$79),"",ReferenceData!$AJ$79),"")</f>
        <v>1536000</v>
      </c>
      <c r="AK79">
        <f ca="1">IFERROR(IF(0=LEN(ReferenceData!$AK$79),"",ReferenceData!$AK$79),"")</f>
        <v>1543000</v>
      </c>
      <c r="AL79">
        <f ca="1">IFERROR(IF(0=LEN(ReferenceData!$AL$79),"",ReferenceData!$AL$79),"")</f>
        <v>1560000</v>
      </c>
      <c r="AM79">
        <f ca="1">IFERROR(IF(0=LEN(ReferenceData!$AM$79),"",ReferenceData!$AM$79),"")</f>
        <v>1582000</v>
      </c>
      <c r="AN79">
        <f ca="1">IFERROR(IF(0=LEN(ReferenceData!$AN$79),"",ReferenceData!$AN$79),"")</f>
        <v>1603000</v>
      </c>
      <c r="AO79">
        <f ca="1">IFERROR(IF(0=LEN(ReferenceData!$AO$79),"",ReferenceData!$AO$79),"")</f>
        <v>1626000</v>
      </c>
      <c r="AP79">
        <f ca="1">IFERROR(IF(0=LEN(ReferenceData!$AP$79),"",ReferenceData!$AP$79),"")</f>
        <v>1649000</v>
      </c>
      <c r="AQ79">
        <f ca="1">IFERROR(IF(0=LEN(ReferenceData!$AQ$79),"",ReferenceData!$AQ$79),"")</f>
        <v>1673000</v>
      </c>
      <c r="AR79">
        <f ca="1">IFERROR(IF(0=LEN(ReferenceData!$AR$79),"",ReferenceData!$AR$79),"")</f>
        <v>1696000</v>
      </c>
      <c r="AS79">
        <f ca="1">IFERROR(IF(0=LEN(ReferenceData!$AS$79),"",ReferenceData!$AS$79),"")</f>
        <v>1723000</v>
      </c>
      <c r="AT79">
        <f ca="1">IFERROR(IF(0=LEN(ReferenceData!$AT$79),"",ReferenceData!$AT$79),"")</f>
        <v>1752000</v>
      </c>
      <c r="AU79">
        <f ca="1">IFERROR(IF(0=LEN(ReferenceData!$AU$79),"",ReferenceData!$AU$79),"")</f>
        <v>1777000</v>
      </c>
      <c r="AV79">
        <f ca="1">IFERROR(IF(0=LEN(ReferenceData!$AV$79),"",ReferenceData!$AV$79),"")</f>
        <v>1797000</v>
      </c>
      <c r="AW79">
        <f ca="1">IFERROR(IF(0=LEN(ReferenceData!$AW$79),"",ReferenceData!$AW$79),"")</f>
        <v>1812000</v>
      </c>
      <c r="AX79">
        <f ca="1">IFERROR(IF(0=LEN(ReferenceData!$AX$79),"",ReferenceData!$AX$79),"")</f>
        <v>1829000</v>
      </c>
      <c r="AY79">
        <f ca="1">IFERROR(IF(0=LEN(ReferenceData!$AY$79),"",ReferenceData!$AY$79),"")</f>
        <v>1844000</v>
      </c>
      <c r="AZ79">
        <f ca="1">IFERROR(IF(0=LEN(ReferenceData!$AZ$79),"",ReferenceData!$AZ$79),"")</f>
        <v>1851000</v>
      </c>
      <c r="BA79">
        <f ca="1">IFERROR(IF(0=LEN(ReferenceData!$BA$79),"",ReferenceData!$BA$79),"")</f>
        <v>1860000</v>
      </c>
      <c r="BB79">
        <f ca="1">IFERROR(IF(0=LEN(ReferenceData!$BB$79),"",ReferenceData!$BB$79),"")</f>
        <v>1873000</v>
      </c>
      <c r="BC79">
        <f ca="1">IFERROR(IF(0=LEN(ReferenceData!$BC$79),"",ReferenceData!$BC$79),"")</f>
        <v>1879000</v>
      </c>
      <c r="BD79">
        <f ca="1">IFERROR(IF(0=LEN(ReferenceData!$BD$79),"",ReferenceData!$BD$79),"")</f>
        <v>1863000</v>
      </c>
      <c r="BE79">
        <f ca="1">IFERROR(IF(0=LEN(ReferenceData!$BE$79),"",ReferenceData!$BE$79),"")</f>
        <v>1840000</v>
      </c>
      <c r="BF79">
        <f ca="1">IFERROR(IF(0=LEN(ReferenceData!$BF$79),"",ReferenceData!$BF$79),"")</f>
        <v>1822000</v>
      </c>
      <c r="BG79">
        <f ca="1">IFERROR(IF(0=LEN(ReferenceData!$BG$79),"",ReferenceData!$BG$79),"")</f>
        <v>1814000</v>
      </c>
      <c r="BH79">
        <f ca="1">IFERROR(IF(0=LEN(ReferenceData!$BH$79),"",ReferenceData!$BH$79),"")</f>
        <v>1810000</v>
      </c>
      <c r="BI79">
        <f ca="1">IFERROR(IF(0=LEN(ReferenceData!$BI$79),"",ReferenceData!$BI$79),"")</f>
        <v>1808000</v>
      </c>
      <c r="BJ79">
        <f ca="1">IFERROR(IF(0=LEN(ReferenceData!$BJ$79),"",ReferenceData!$BJ$79),"")</f>
        <v>1809000</v>
      </c>
      <c r="BK79">
        <f ca="1">IFERROR(IF(0=LEN(ReferenceData!$BK$79),"",ReferenceData!$BK$79),"")</f>
        <v>1808000</v>
      </c>
      <c r="BL79">
        <f ca="1">IFERROR(IF(0=LEN(ReferenceData!$BL$79),"",ReferenceData!$BL$79),"")</f>
        <v>1812000</v>
      </c>
      <c r="BM79" t="str">
        <f ca="1">IFERROR(IF(0=LEN(ReferenceData!$BM$79),"",ReferenceData!$BM$79),"")</f>
        <v/>
      </c>
    </row>
    <row r="80" spans="1:65">
      <c r="A80" t="str">
        <f>IFERROR(IF(0=LEN(ReferenceData!$A$80),"",ReferenceData!$A$80),"")</f>
        <v xml:space="preserve">    Western Alliance Bancorp</v>
      </c>
      <c r="B80" t="str">
        <f>IFERROR(IF(0=LEN(ReferenceData!$B$80),"",ReferenceData!$B$80),"")</f>
        <v>WAL US Equity</v>
      </c>
      <c r="C80" t="str">
        <f>IFERROR(IF(0=LEN(ReferenceData!$C$80),"",ReferenceData!$C$80),"")</f>
        <v>BS962</v>
      </c>
      <c r="D80" t="str">
        <f>IFERROR(IF(0=LEN(ReferenceData!$D$80),"",ReferenceData!$D$80),"")</f>
        <v>BS_RSD_MTG_SRVC_PORTFOLIO</v>
      </c>
      <c r="E80" t="str">
        <f>IFERROR(IF(0=LEN(ReferenceData!$E$80),"",ReferenceData!$E$80),"")</f>
        <v>Dynamic</v>
      </c>
      <c r="F80" t="str">
        <f ca="1">IFERROR(IF(0=LEN(ReferenceData!$F$80),"",ReferenceData!$F$80),"")</f>
        <v/>
      </c>
      <c r="G80" t="str">
        <f ca="1">IFERROR(IF(0=LEN(ReferenceData!$G$80),"",ReferenceData!$G$80),"")</f>
        <v/>
      </c>
      <c r="H80" t="str">
        <f ca="1">IFERROR(IF(0=LEN(ReferenceData!$H$80),"",ReferenceData!$H$80),"")</f>
        <v/>
      </c>
      <c r="I80" t="str">
        <f ca="1">IFERROR(IF(0=LEN(ReferenceData!$I$80),"",ReferenceData!$I$80),"")</f>
        <v/>
      </c>
      <c r="J80" t="str">
        <f ca="1">IFERROR(IF(0=LEN(ReferenceData!$J$80),"",ReferenceData!$J$80),"")</f>
        <v/>
      </c>
      <c r="K80" t="str">
        <f ca="1">IFERROR(IF(0=LEN(ReferenceData!$K$80),"",ReferenceData!$K$80),"")</f>
        <v/>
      </c>
      <c r="L80" t="str">
        <f ca="1">IFERROR(IF(0=LEN(ReferenceData!$L$80),"",ReferenceData!$L$80),"")</f>
        <v/>
      </c>
      <c r="M80" t="str">
        <f ca="1">IFERROR(IF(0=LEN(ReferenceData!$M$80),"",ReferenceData!$M$80),"")</f>
        <v/>
      </c>
      <c r="N80" t="str">
        <f ca="1">IFERROR(IF(0=LEN(ReferenceData!$N$80),"",ReferenceData!$N$80),"")</f>
        <v/>
      </c>
      <c r="O80" t="str">
        <f ca="1">IFERROR(IF(0=LEN(ReferenceData!$O$80),"",ReferenceData!$O$80),"")</f>
        <v/>
      </c>
      <c r="P80" t="str">
        <f ca="1">IFERROR(IF(0=LEN(ReferenceData!$P$80),"",ReferenceData!$P$80),"")</f>
        <v/>
      </c>
      <c r="Q80" t="str">
        <f ca="1">IFERROR(IF(0=LEN(ReferenceData!$Q$80),"",ReferenceData!$Q$80),"")</f>
        <v/>
      </c>
      <c r="R80" t="str">
        <f ca="1">IFERROR(IF(0=LEN(ReferenceData!$R$80),"",ReferenceData!$R$80),"")</f>
        <v/>
      </c>
      <c r="S80" t="str">
        <f ca="1">IFERROR(IF(0=LEN(ReferenceData!$S$80),"",ReferenceData!$S$80),"")</f>
        <v/>
      </c>
      <c r="T80" t="str">
        <f ca="1">IFERROR(IF(0=LEN(ReferenceData!$T$80),"",ReferenceData!$T$80),"")</f>
        <v/>
      </c>
      <c r="U80" t="str">
        <f ca="1">IFERROR(IF(0=LEN(ReferenceData!$U$80),"",ReferenceData!$U$80),"")</f>
        <v/>
      </c>
      <c r="V80" t="str">
        <f ca="1">IFERROR(IF(0=LEN(ReferenceData!$V$80),"",ReferenceData!$V$80),"")</f>
        <v/>
      </c>
      <c r="W80" t="str">
        <f ca="1">IFERROR(IF(0=LEN(ReferenceData!$W$80),"",ReferenceData!$W$80),"")</f>
        <v/>
      </c>
      <c r="X80" t="str">
        <f ca="1">IFERROR(IF(0=LEN(ReferenceData!$X$80),"",ReferenceData!$X$80),"")</f>
        <v/>
      </c>
      <c r="Y80" t="str">
        <f ca="1">IFERROR(IF(0=LEN(ReferenceData!$Y$80),"",ReferenceData!$Y$80),"")</f>
        <v/>
      </c>
      <c r="Z80" t="str">
        <f ca="1">IFERROR(IF(0=LEN(ReferenceData!$Z$80),"",ReferenceData!$Z$80),"")</f>
        <v/>
      </c>
      <c r="AA80" t="str">
        <f ca="1">IFERROR(IF(0=LEN(ReferenceData!$AA$80),"",ReferenceData!$AA$80),"")</f>
        <v/>
      </c>
      <c r="AB80" t="str">
        <f ca="1">IFERROR(IF(0=LEN(ReferenceData!$AB$80),"",ReferenceData!$AB$80),"")</f>
        <v/>
      </c>
      <c r="AC80" t="str">
        <f ca="1">IFERROR(IF(0=LEN(ReferenceData!$AC$80),"",ReferenceData!$AC$80),"")</f>
        <v/>
      </c>
      <c r="AD80" t="str">
        <f ca="1">IFERROR(IF(0=LEN(ReferenceData!$AD$80),"",ReferenceData!$AD$80),"")</f>
        <v/>
      </c>
      <c r="AE80" t="str">
        <f ca="1">IFERROR(IF(0=LEN(ReferenceData!$AE$80),"",ReferenceData!$AE$80),"")</f>
        <v/>
      </c>
      <c r="AF80" t="str">
        <f ca="1">IFERROR(IF(0=LEN(ReferenceData!$AF$80),"",ReferenceData!$AF$80),"")</f>
        <v/>
      </c>
      <c r="AG80" t="str">
        <f ca="1">IFERROR(IF(0=LEN(ReferenceData!$AG$80),"",ReferenceData!$AG$80),"")</f>
        <v/>
      </c>
      <c r="AH80" t="str">
        <f ca="1">IFERROR(IF(0=LEN(ReferenceData!$AH$80),"",ReferenceData!$AH$80),"")</f>
        <v/>
      </c>
      <c r="AI80" t="str">
        <f ca="1">IFERROR(IF(0=LEN(ReferenceData!$AI$80),"",ReferenceData!$AI$80),"")</f>
        <v/>
      </c>
      <c r="AJ80" t="str">
        <f ca="1">IFERROR(IF(0=LEN(ReferenceData!$AJ$80),"",ReferenceData!$AJ$80),"")</f>
        <v/>
      </c>
      <c r="AK80" t="str">
        <f ca="1">IFERROR(IF(0=LEN(ReferenceData!$AK$80),"",ReferenceData!$AK$80),"")</f>
        <v/>
      </c>
      <c r="AL80" t="str">
        <f ca="1">IFERROR(IF(0=LEN(ReferenceData!$AL$80),"",ReferenceData!$AL$80),"")</f>
        <v/>
      </c>
      <c r="AM80" t="str">
        <f ca="1">IFERROR(IF(0=LEN(ReferenceData!$AM$80),"",ReferenceData!$AM$80),"")</f>
        <v/>
      </c>
      <c r="AN80" t="str">
        <f ca="1">IFERROR(IF(0=LEN(ReferenceData!$AN$80),"",ReferenceData!$AN$80),"")</f>
        <v/>
      </c>
      <c r="AO80" t="str">
        <f ca="1">IFERROR(IF(0=LEN(ReferenceData!$AO$80),"",ReferenceData!$AO$80),"")</f>
        <v/>
      </c>
      <c r="AP80" t="str">
        <f ca="1">IFERROR(IF(0=LEN(ReferenceData!$AP$80),"",ReferenceData!$AP$80),"")</f>
        <v/>
      </c>
      <c r="AQ80" t="str">
        <f ca="1">IFERROR(IF(0=LEN(ReferenceData!$AQ$80),"",ReferenceData!$AQ$80),"")</f>
        <v/>
      </c>
      <c r="AR80" t="str">
        <f ca="1">IFERROR(IF(0=LEN(ReferenceData!$AR$80),"",ReferenceData!$AR$80),"")</f>
        <v/>
      </c>
      <c r="AS80" t="str">
        <f ca="1">IFERROR(IF(0=LEN(ReferenceData!$AS$80),"",ReferenceData!$AS$80),"")</f>
        <v/>
      </c>
      <c r="AT80" t="str">
        <f ca="1">IFERROR(IF(0=LEN(ReferenceData!$AT$80),"",ReferenceData!$AT$80),"")</f>
        <v/>
      </c>
      <c r="AU80" t="str">
        <f ca="1">IFERROR(IF(0=LEN(ReferenceData!$AU$80),"",ReferenceData!$AU$80),"")</f>
        <v/>
      </c>
      <c r="AV80" t="str">
        <f ca="1">IFERROR(IF(0=LEN(ReferenceData!$AV$80),"",ReferenceData!$AV$80),"")</f>
        <v/>
      </c>
      <c r="AW80" t="str">
        <f ca="1">IFERROR(IF(0=LEN(ReferenceData!$AW$80),"",ReferenceData!$AW$80),"")</f>
        <v/>
      </c>
      <c r="AX80" t="str">
        <f ca="1">IFERROR(IF(0=LEN(ReferenceData!$AX$80),"",ReferenceData!$AX$80),"")</f>
        <v/>
      </c>
      <c r="AY80" t="str">
        <f ca="1">IFERROR(IF(0=LEN(ReferenceData!$AY$80),"",ReferenceData!$AY$80),"")</f>
        <v/>
      </c>
      <c r="AZ80" t="str">
        <f ca="1">IFERROR(IF(0=LEN(ReferenceData!$AZ$80),"",ReferenceData!$AZ$80),"")</f>
        <v/>
      </c>
      <c r="BA80" t="str">
        <f ca="1">IFERROR(IF(0=LEN(ReferenceData!$BA$80),"",ReferenceData!$BA$80),"")</f>
        <v/>
      </c>
      <c r="BB80" t="str">
        <f ca="1">IFERROR(IF(0=LEN(ReferenceData!$BB$80),"",ReferenceData!$BB$80),"")</f>
        <v/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>
      <c r="A81" t="str">
        <f>IFERROR(IF(0=LEN(ReferenceData!$A$81),"",ReferenceData!$A$81),"")</f>
        <v xml:space="preserve">    Zions Bancorp NA</v>
      </c>
      <c r="B81" t="str">
        <f>IFERROR(IF(0=LEN(ReferenceData!$B$81),"",ReferenceData!$B$81),"")</f>
        <v>ZION US Equity</v>
      </c>
      <c r="C81" t="str">
        <f>IFERROR(IF(0=LEN(ReferenceData!$C$81),"",ReferenceData!$C$81),"")</f>
        <v>BS962</v>
      </c>
      <c r="D81" t="str">
        <f>IFERROR(IF(0=LEN(ReferenceData!$D$81),"",ReferenceData!$D$81),"")</f>
        <v>BS_RSD_MTG_SRVC_PORTFOLIO</v>
      </c>
      <c r="E81" t="str">
        <f>IFERROR(IF(0=LEN(ReferenceData!$E$81),"",ReferenceData!$E$81),"")</f>
        <v>Dynamic</v>
      </c>
      <c r="F81" t="str">
        <f ca="1">IFERROR(IF(0=LEN(ReferenceData!$F$81),"",ReferenceData!$F$81),"")</f>
        <v/>
      </c>
      <c r="G81" t="str">
        <f ca="1">IFERROR(IF(0=LEN(ReferenceData!$G$81),"",ReferenceData!$G$81),"")</f>
        <v/>
      </c>
      <c r="H81" t="str">
        <f ca="1">IFERROR(IF(0=LEN(ReferenceData!$H$81),"",ReferenceData!$H$81),"")</f>
        <v/>
      </c>
      <c r="I81" t="str">
        <f ca="1">IFERROR(IF(0=LEN(ReferenceData!$I$81),"",ReferenceData!$I$81),"")</f>
        <v/>
      </c>
      <c r="J81" t="str">
        <f ca="1">IFERROR(IF(0=LEN(ReferenceData!$J$81),"",ReferenceData!$J$81),"")</f>
        <v/>
      </c>
      <c r="K81" t="str">
        <f ca="1">IFERROR(IF(0=LEN(ReferenceData!$K$81),"",ReferenceData!$K$81),"")</f>
        <v/>
      </c>
      <c r="L81" t="str">
        <f ca="1">IFERROR(IF(0=LEN(ReferenceData!$L$81),"",ReferenceData!$L$81),"")</f>
        <v/>
      </c>
      <c r="M81" t="str">
        <f ca="1">IFERROR(IF(0=LEN(ReferenceData!$M$81),"",ReferenceData!$M$81),"")</f>
        <v/>
      </c>
      <c r="N81" t="str">
        <f ca="1">IFERROR(IF(0=LEN(ReferenceData!$N$81),"",ReferenceData!$N$81),"")</f>
        <v/>
      </c>
      <c r="O81" t="str">
        <f ca="1">IFERROR(IF(0=LEN(ReferenceData!$O$81),"",ReferenceData!$O$81),"")</f>
        <v/>
      </c>
      <c r="P81" t="str">
        <f ca="1">IFERROR(IF(0=LEN(ReferenceData!$P$81),"",ReferenceData!$P$81),"")</f>
        <v/>
      </c>
      <c r="Q81" t="str">
        <f ca="1">IFERROR(IF(0=LEN(ReferenceData!$Q$81),"",ReferenceData!$Q$81),"")</f>
        <v/>
      </c>
      <c r="R81" t="str">
        <f ca="1">IFERROR(IF(0=LEN(ReferenceData!$R$81),"",ReferenceData!$R$81),"")</f>
        <v/>
      </c>
      <c r="S81" t="str">
        <f ca="1">IFERROR(IF(0=LEN(ReferenceData!$S$81),"",ReferenceData!$S$81),"")</f>
        <v/>
      </c>
      <c r="T81" t="str">
        <f ca="1">IFERROR(IF(0=LEN(ReferenceData!$T$81),"",ReferenceData!$T$81),"")</f>
        <v/>
      </c>
      <c r="U81" t="str">
        <f ca="1">IFERROR(IF(0=LEN(ReferenceData!$U$81),"",ReferenceData!$U$81),"")</f>
        <v/>
      </c>
      <c r="V81" t="str">
        <f ca="1">IFERROR(IF(0=LEN(ReferenceData!$V$81),"",ReferenceData!$V$81),"")</f>
        <v/>
      </c>
      <c r="W81" t="str">
        <f ca="1">IFERROR(IF(0=LEN(ReferenceData!$W$81),"",ReferenceData!$W$81),"")</f>
        <v/>
      </c>
      <c r="X81" t="str">
        <f ca="1">IFERROR(IF(0=LEN(ReferenceData!$X$81),"",ReferenceData!$X$81),"")</f>
        <v/>
      </c>
      <c r="Y81" t="str">
        <f ca="1">IFERROR(IF(0=LEN(ReferenceData!$Y$81),"",ReferenceData!$Y$81),"")</f>
        <v/>
      </c>
      <c r="Z81" t="str">
        <f ca="1">IFERROR(IF(0=LEN(ReferenceData!$Z$81),"",ReferenceData!$Z$81),"")</f>
        <v/>
      </c>
      <c r="AA81" t="str">
        <f ca="1">IFERROR(IF(0=LEN(ReferenceData!$AA$81),"",ReferenceData!$AA$81),"")</f>
        <v/>
      </c>
      <c r="AB81" t="str">
        <f ca="1">IFERROR(IF(0=LEN(ReferenceData!$AB$81),"",ReferenceData!$AB$81),"")</f>
        <v/>
      </c>
      <c r="AC81" t="str">
        <f ca="1">IFERROR(IF(0=LEN(ReferenceData!$AC$81),"",ReferenceData!$AC$81),"")</f>
        <v/>
      </c>
      <c r="AD81" t="str">
        <f ca="1">IFERROR(IF(0=LEN(ReferenceData!$AD$81),"",ReferenceData!$AD$81),"")</f>
        <v/>
      </c>
      <c r="AE81" t="str">
        <f ca="1">IFERROR(IF(0=LEN(ReferenceData!$AE$81),"",ReferenceData!$AE$81),"")</f>
        <v/>
      </c>
      <c r="AF81" t="str">
        <f ca="1">IFERROR(IF(0=LEN(ReferenceData!$AF$81),"",ReferenceData!$AF$81),"")</f>
        <v/>
      </c>
      <c r="AG81" t="str">
        <f ca="1">IFERROR(IF(0=LEN(ReferenceData!$AG$81),"",ReferenceData!$AG$81),"")</f>
        <v/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  <c r="AT81" t="str">
        <f ca="1">IFERROR(IF(0=LEN(ReferenceData!$AT$81),"",ReferenceData!$AT$81),"")</f>
        <v/>
      </c>
      <c r="AU81" t="str">
        <f ca="1">IFERROR(IF(0=LEN(ReferenceData!$AU$81),"",ReferenceData!$AU$81),"")</f>
        <v/>
      </c>
      <c r="AV81" t="str">
        <f ca="1">IFERROR(IF(0=LEN(ReferenceData!$AV$81),"",ReferenceData!$AV$81),"")</f>
        <v/>
      </c>
      <c r="AW81" t="str">
        <f ca="1">IFERROR(IF(0=LEN(ReferenceData!$AW$81),"",ReferenceData!$AW$81),"")</f>
        <v/>
      </c>
      <c r="AX81" t="str">
        <f ca="1">IFERROR(IF(0=LEN(ReferenceData!$AX$81),"",ReferenceData!$AX$81),"")</f>
        <v/>
      </c>
      <c r="AY81" t="str">
        <f ca="1">IFERROR(IF(0=LEN(ReferenceData!$AY$81),"",ReferenceData!$AY$81),"")</f>
        <v/>
      </c>
      <c r="AZ81" t="str">
        <f ca="1">IFERROR(IF(0=LEN(ReferenceData!$AZ$81),"",ReferenceData!$AZ$81),"")</f>
        <v/>
      </c>
      <c r="BA81" t="str">
        <f ca="1">IFERROR(IF(0=LEN(ReferenceData!$BA$81),"",ReferenceData!$BA$81),"")</f>
        <v/>
      </c>
      <c r="BB81" t="str">
        <f ca="1">IFERROR(IF(0=LEN(ReferenceData!$BB$81),"",ReferenceData!$BB$81),"")</f>
        <v/>
      </c>
      <c r="BC81" t="str">
        <f ca="1">IFERROR(IF(0=LEN(ReferenceData!$BC$81),"",ReferenceData!$BC$81),"")</f>
        <v/>
      </c>
      <c r="BD81" t="str">
        <f ca="1">IFERROR(IF(0=LEN(ReferenceData!$BD$81),"",ReferenceData!$BD$81),"")</f>
        <v/>
      </c>
      <c r="BE81" t="str">
        <f ca="1">IFERROR(IF(0=LEN(ReferenceData!$BE$81),"",ReferenceData!$BE$81),"")</f>
        <v/>
      </c>
      <c r="BF81" t="str">
        <f ca="1">IFERROR(IF(0=LEN(ReferenceData!$BF$81),"",ReferenceData!$BF$81),"")</f>
        <v/>
      </c>
      <c r="BG81" t="str">
        <f ca="1">IFERROR(IF(0=LEN(ReferenceData!$BG$81),"",ReferenceData!$BG$81),"")</f>
        <v/>
      </c>
      <c r="BH81" t="str">
        <f ca="1">IFERROR(IF(0=LEN(ReferenceData!$BH$81),"",ReferenceData!$BH$81),"")</f>
        <v/>
      </c>
      <c r="BI81" t="str">
        <f ca="1">IFERROR(IF(0=LEN(ReferenceData!$BI$81),"",ReferenceData!$BI$81),"")</f>
        <v/>
      </c>
      <c r="BJ81" t="str">
        <f ca="1">IFERROR(IF(0=LEN(ReferenceData!$BJ$81),"",ReferenceData!$BJ$81),"")</f>
        <v/>
      </c>
      <c r="BK81" t="str">
        <f ca="1">IFERROR(IF(0=LEN(ReferenceData!$BK$81),"",ReferenceData!$BK$81),"")</f>
        <v/>
      </c>
      <c r="BL81" t="str">
        <f ca="1">IFERROR(IF(0=LEN(ReferenceData!$BL$81),"",ReferenceData!$BL$81),"")</f>
        <v/>
      </c>
      <c r="BM81" t="str">
        <f ca="1">IFERROR(IF(0=LEN(ReferenceData!$BM$81),"",ReferenceData!$BM$81),"")</f>
        <v/>
      </c>
    </row>
    <row r="82" spans="1:65">
      <c r="A82" s="2" t="str">
        <f>IFERROR(IF(0=LEN(ReferenceData!$A$82),"",ReferenceData!$A$82),"")</f>
        <v>Residential Mortgage Owned Serviced Portfolio</v>
      </c>
      <c r="B82" t="str">
        <f>IFERROR(IF(0=LEN(ReferenceData!$B$82),"",ReferenceData!$B$82),"")</f>
        <v/>
      </c>
      <c r="C82" t="str">
        <f>IFERROR(IF(0=LEN(ReferenceData!$C$82),"",ReferenceData!$C$82),"")</f>
        <v/>
      </c>
      <c r="D82" t="str">
        <f>IFERROR(IF(0=LEN(ReferenceData!$D$82),"",ReferenceData!$D$82),"")</f>
        <v/>
      </c>
      <c r="E82" t="str">
        <f>IFERROR(IF(0=LEN(ReferenceData!$E$82),"",ReferenceData!$E$82),"")</f>
        <v>Sum</v>
      </c>
      <c r="F82">
        <f ca="1">IFERROR(IF(0=LEN(ReferenceData!$F$82),"",ReferenceData!$F$82),"")</f>
        <v>417837</v>
      </c>
      <c r="G82">
        <f ca="1">IFERROR(IF(0=LEN(ReferenceData!$G$82),"",ReferenceData!$G$82),"")</f>
        <v>420681</v>
      </c>
      <c r="H82">
        <f ca="1">IFERROR(IF(0=LEN(ReferenceData!$H$82),"",ReferenceData!$H$82),"")</f>
        <v>424603</v>
      </c>
      <c r="I82">
        <f ca="1">IFERROR(IF(0=LEN(ReferenceData!$I$82),"",ReferenceData!$I$82),"")</f>
        <v>429955</v>
      </c>
      <c r="J82">
        <f ca="1">IFERROR(IF(0=LEN(ReferenceData!$J$82),"",ReferenceData!$J$82),"")</f>
        <v>434669</v>
      </c>
      <c r="K82">
        <f ca="1">IFERROR(IF(0=LEN(ReferenceData!$K$82),"",ReferenceData!$K$82),"")</f>
        <v>440179</v>
      </c>
      <c r="L82">
        <f ca="1">IFERROR(IF(0=LEN(ReferenceData!$L$82),"",ReferenceData!$L$82),"")</f>
        <v>443847</v>
      </c>
      <c r="M82">
        <f ca="1">IFERROR(IF(0=LEN(ReferenceData!$M$82),"",ReferenceData!$M$82),"")</f>
        <v>447893</v>
      </c>
      <c r="N82">
        <f ca="1">IFERROR(IF(0=LEN(ReferenceData!$N$82),"",ReferenceData!$N$82),"")</f>
        <v>450182</v>
      </c>
      <c r="O82">
        <f ca="1">IFERROR(IF(0=LEN(ReferenceData!$O$82),"",ReferenceData!$O$82),"")</f>
        <v>451086</v>
      </c>
      <c r="P82">
        <f ca="1">IFERROR(IF(0=LEN(ReferenceData!$P$82),"",ReferenceData!$P$82),"")</f>
        <v>445541</v>
      </c>
      <c r="Q82">
        <f ca="1">IFERROR(IF(0=LEN(ReferenceData!$Q$82),"",ReferenceData!$Q$82),"")</f>
        <v>438427</v>
      </c>
      <c r="R82">
        <f ca="1">IFERROR(IF(0=LEN(ReferenceData!$R$82),"",ReferenceData!$R$82),"")</f>
        <v>433516</v>
      </c>
      <c r="S82">
        <f ca="1">IFERROR(IF(0=LEN(ReferenceData!$S$82),"",ReferenceData!$S$82),"")</f>
        <v>345227</v>
      </c>
      <c r="T82">
        <f ca="1">IFERROR(IF(0=LEN(ReferenceData!$T$82),"",ReferenceData!$T$82),"")</f>
        <v>330052.5</v>
      </c>
      <c r="U82">
        <f ca="1">IFERROR(IF(0=LEN(ReferenceData!$U$82),"",ReferenceData!$U$82),"")</f>
        <v>437500</v>
      </c>
      <c r="V82">
        <f ca="1">IFERROR(IF(0=LEN(ReferenceData!$V$82),"",ReferenceData!$V$82),"")</f>
        <v>460293</v>
      </c>
      <c r="W82">
        <f ca="1">IFERROR(IF(0=LEN(ReferenceData!$W$82),"",ReferenceData!$W$82),"")</f>
        <v>414487</v>
      </c>
      <c r="X82">
        <f ca="1">IFERROR(IF(0=LEN(ReferenceData!$X$82),"",ReferenceData!$X$82),"")</f>
        <v>407965</v>
      </c>
      <c r="Y82">
        <f ca="1">IFERROR(IF(0=LEN(ReferenceData!$Y$82),"",ReferenceData!$Y$82),"")</f>
        <v>397325</v>
      </c>
      <c r="Z82">
        <f ca="1">IFERROR(IF(0=LEN(ReferenceData!$Z$82),"",ReferenceData!$Z$82),"")</f>
        <v>420877</v>
      </c>
      <c r="AA82">
        <f ca="1">IFERROR(IF(0=LEN(ReferenceData!$AA$82),"",ReferenceData!$AA$82),"")</f>
        <v>474560</v>
      </c>
      <c r="AB82">
        <f ca="1">IFERROR(IF(0=LEN(ReferenceData!$AB$82),"",ReferenceData!$AB$82),"")</f>
        <v>559852</v>
      </c>
      <c r="AC82">
        <f ca="1">IFERROR(IF(0=LEN(ReferenceData!$AC$82),"",ReferenceData!$AC$82),"")</f>
        <v>362861</v>
      </c>
      <c r="AD82">
        <f ca="1">IFERROR(IF(0=LEN(ReferenceData!$AD$82),"",ReferenceData!$AD$82),"")</f>
        <v>47715</v>
      </c>
      <c r="AE82">
        <f ca="1">IFERROR(IF(0=LEN(ReferenceData!$AE$82),"",ReferenceData!$AE$82),"")</f>
        <v>384237</v>
      </c>
      <c r="AF82">
        <f ca="1">IFERROR(IF(0=LEN(ReferenceData!$AF$82),"",ReferenceData!$AF$82),"")</f>
        <v>386561</v>
      </c>
      <c r="AG82">
        <f ca="1">IFERROR(IF(0=LEN(ReferenceData!$AG$82),"",ReferenceData!$AG$82),"")</f>
        <v>366081</v>
      </c>
      <c r="AH82">
        <f ca="1">IFERROR(IF(0=LEN(ReferenceData!$AH$82),"",ReferenceData!$AH$82),"")</f>
        <v>387379</v>
      </c>
      <c r="AI82">
        <f ca="1">IFERROR(IF(0=LEN(ReferenceData!$AI$82),"",ReferenceData!$AI$82),"")</f>
        <v>385645</v>
      </c>
      <c r="AJ82">
        <f ca="1">IFERROR(IF(0=LEN(ReferenceData!$AJ$82),"",ReferenceData!$AJ$82),"")</f>
        <v>389267</v>
      </c>
      <c r="AK82">
        <f ca="1">IFERROR(IF(0=LEN(ReferenceData!$AK$82),"",ReferenceData!$AK$82),"")</f>
        <v>365396</v>
      </c>
      <c r="AL82">
        <f ca="1">IFERROR(IF(0=LEN(ReferenceData!$AL$82),"",ReferenceData!$AL$82),"")</f>
        <v>394060</v>
      </c>
      <c r="AM82">
        <f ca="1">IFERROR(IF(0=LEN(ReferenceData!$AM$82),"",ReferenceData!$AM$82),"")</f>
        <v>399903</v>
      </c>
      <c r="AN82">
        <f ca="1">IFERROR(IF(0=LEN(ReferenceData!$AN$82),"",ReferenceData!$AN$82),"")</f>
        <v>396747</v>
      </c>
      <c r="AO82">
        <f ca="1">IFERROR(IF(0=LEN(ReferenceData!$AO$82),"",ReferenceData!$AO$82),"")</f>
        <v>387462</v>
      </c>
      <c r="AP82">
        <f ca="1">IFERROR(IF(0=LEN(ReferenceData!$AP$82),"",ReferenceData!$AP$82),"")</f>
        <v>390437</v>
      </c>
      <c r="AQ82">
        <f ca="1">IFERROR(IF(0=LEN(ReferenceData!$AQ$82),"",ReferenceData!$AQ$82),"")</f>
        <v>392334</v>
      </c>
      <c r="AR82">
        <f ca="1">IFERROR(IF(0=LEN(ReferenceData!$AR$82),"",ReferenceData!$AR$82),"")</f>
        <v>392002</v>
      </c>
      <c r="AS82">
        <f ca="1">IFERROR(IF(0=LEN(ReferenceData!$AS$82),"",ReferenceData!$AS$82),"")</f>
        <v>375900.2</v>
      </c>
      <c r="AT82">
        <f ca="1">IFERROR(IF(0=LEN(ReferenceData!$AT$82),"",ReferenceData!$AT$82),"")</f>
        <v>453027</v>
      </c>
      <c r="AU82">
        <f ca="1">IFERROR(IF(0=LEN(ReferenceData!$AU$82),"",ReferenceData!$AU$82),"")</f>
        <v>375490</v>
      </c>
      <c r="AV82">
        <f ca="1">IFERROR(IF(0=LEN(ReferenceData!$AV$82),"",ReferenceData!$AV$82),"")</f>
        <v>388354</v>
      </c>
      <c r="AW82">
        <f ca="1">IFERROR(IF(0=LEN(ReferenceData!$AW$82),"",ReferenceData!$AW$82),"")</f>
        <v>384003</v>
      </c>
      <c r="AX82">
        <f ca="1">IFERROR(IF(0=LEN(ReferenceData!$AX$82),"",ReferenceData!$AX$82),"")</f>
        <v>376901</v>
      </c>
      <c r="AY82">
        <f ca="1">IFERROR(IF(0=LEN(ReferenceData!$AY$82),"",ReferenceData!$AY$82),"")</f>
        <v>382382</v>
      </c>
      <c r="AZ82">
        <f ca="1">IFERROR(IF(0=LEN(ReferenceData!$AZ$82),"",ReferenceData!$AZ$82),"")</f>
        <v>395811</v>
      </c>
      <c r="BA82">
        <f ca="1">IFERROR(IF(0=LEN(ReferenceData!$BA$82),"",ReferenceData!$BA$82),"")</f>
        <v>408662</v>
      </c>
      <c r="BB82">
        <f ca="1">IFERROR(IF(0=LEN(ReferenceData!$BB$82),"",ReferenceData!$BB$82),"")</f>
        <v>410301</v>
      </c>
      <c r="BC82">
        <f ca="1">IFERROR(IF(0=LEN(ReferenceData!$BC$82),"",ReferenceData!$BC$82),"")</f>
        <v>402894</v>
      </c>
      <c r="BD82">
        <f ca="1">IFERROR(IF(0=LEN(ReferenceData!$BD$82),"",ReferenceData!$BD$82),"")</f>
        <v>394871</v>
      </c>
      <c r="BE82">
        <f ca="1">IFERROR(IF(0=LEN(ReferenceData!$BE$82),"",ReferenceData!$BE$82),"")</f>
        <v>386808</v>
      </c>
      <c r="BF82">
        <f ca="1">IFERROR(IF(0=LEN(ReferenceData!$BF$82),"",ReferenceData!$BF$82),"")</f>
        <v>423474</v>
      </c>
      <c r="BG82">
        <f ca="1">IFERROR(IF(0=LEN(ReferenceData!$BG$82),"",ReferenceData!$BG$82),"")</f>
        <v>383313</v>
      </c>
      <c r="BH82">
        <f ca="1">IFERROR(IF(0=LEN(ReferenceData!$BH$82),"",ReferenceData!$BH$82),"")</f>
        <v>369756</v>
      </c>
      <c r="BI82">
        <f ca="1">IFERROR(IF(0=LEN(ReferenceData!$BI$82),"",ReferenceData!$BI$82),"")</f>
        <v>377871</v>
      </c>
      <c r="BJ82">
        <f ca="1">IFERROR(IF(0=LEN(ReferenceData!$BJ$82),"",ReferenceData!$BJ$82),"")</f>
        <v>431380</v>
      </c>
      <c r="BK82">
        <f ca="1">IFERROR(IF(0=LEN(ReferenceData!$BK$82),"",ReferenceData!$BK$82),"")</f>
        <v>395331</v>
      </c>
      <c r="BL82">
        <f ca="1">IFERROR(IF(0=LEN(ReferenceData!$BL$82),"",ReferenceData!$BL$82),"")</f>
        <v>393321</v>
      </c>
      <c r="BM82" t="str">
        <f ca="1">IFERROR(IF(0=LEN(ReferenceData!$BM$82),"",ReferenceData!$BM$82),"")</f>
        <v/>
      </c>
    </row>
    <row r="83" spans="1:65">
      <c r="A83" t="str">
        <f>IFERROR(IF(0=LEN(ReferenceData!$A$83),"",ReferenceData!$A$83),"")</f>
        <v xml:space="preserve">    Bank OZK</v>
      </c>
      <c r="B83" t="str">
        <f>IFERROR(IF(0=LEN(ReferenceData!$B$83),"",ReferenceData!$B$83),"")</f>
        <v>OZK US Equity</v>
      </c>
      <c r="C83" t="str">
        <f>IFERROR(IF(0=LEN(ReferenceData!$C$83),"",ReferenceData!$C$83),"")</f>
        <v>BS961</v>
      </c>
      <c r="D83" t="str">
        <f>IFERROR(IF(0=LEN(ReferenceData!$D$83),"",ReferenceData!$D$83),"")</f>
        <v>BS_RES_MTG_OWNED_SERVICED_PORT</v>
      </c>
      <c r="E83" t="str">
        <f>IFERROR(IF(0=LEN(ReferenceData!$E$83),"",ReferenceData!$E$83),"")</f>
        <v>Dynamic</v>
      </c>
      <c r="F83" t="str">
        <f ca="1">IFERROR(IF(0=LEN(ReferenceData!$F$83),"",ReferenceData!$F$83),"")</f>
        <v/>
      </c>
      <c r="G83" t="str">
        <f ca="1">IFERROR(IF(0=LEN(ReferenceData!$G$83),"",ReferenceData!$G$83),"")</f>
        <v/>
      </c>
      <c r="H83" t="str">
        <f ca="1">IFERROR(IF(0=LEN(ReferenceData!$H$83),"",ReferenceData!$H$83),"")</f>
        <v/>
      </c>
      <c r="I83" t="str">
        <f ca="1">IFERROR(IF(0=LEN(ReferenceData!$I$83),"",ReferenceData!$I$83),"")</f>
        <v/>
      </c>
      <c r="J83" t="str">
        <f ca="1">IFERROR(IF(0=LEN(ReferenceData!$J$83),"",ReferenceData!$J$83),"")</f>
        <v/>
      </c>
      <c r="K83" t="str">
        <f ca="1">IFERROR(IF(0=LEN(ReferenceData!$K$83),"",ReferenceData!$K$83),"")</f>
        <v/>
      </c>
      <c r="L83" t="str">
        <f ca="1">IFERROR(IF(0=LEN(ReferenceData!$L$83),"",ReferenceData!$L$83),"")</f>
        <v/>
      </c>
      <c r="M83" t="str">
        <f ca="1">IFERROR(IF(0=LEN(ReferenceData!$M$83),"",ReferenceData!$M$83),"")</f>
        <v/>
      </c>
      <c r="N83" t="str">
        <f ca="1">IFERROR(IF(0=LEN(ReferenceData!$N$83),"",ReferenceData!$N$83),"")</f>
        <v/>
      </c>
      <c r="O83" t="str">
        <f ca="1">IFERROR(IF(0=LEN(ReferenceData!$O$83),"",ReferenceData!$O$83),"")</f>
        <v/>
      </c>
      <c r="P83" t="str">
        <f ca="1">IFERROR(IF(0=LEN(ReferenceData!$P$83),"",ReferenceData!$P$83),"")</f>
        <v/>
      </c>
      <c r="Q83" t="str">
        <f ca="1">IFERROR(IF(0=LEN(ReferenceData!$Q$83),"",ReferenceData!$Q$83),"")</f>
        <v/>
      </c>
      <c r="R83" t="str">
        <f ca="1">IFERROR(IF(0=LEN(ReferenceData!$R$83),"",ReferenceData!$R$83),"")</f>
        <v/>
      </c>
      <c r="S83" t="str">
        <f ca="1">IFERROR(IF(0=LEN(ReferenceData!$S$83),"",ReferenceData!$S$83),"")</f>
        <v/>
      </c>
      <c r="T83" t="str">
        <f ca="1">IFERROR(IF(0=LEN(ReferenceData!$T$83),"",ReferenceData!$T$83),"")</f>
        <v/>
      </c>
      <c r="U83" t="str">
        <f ca="1">IFERROR(IF(0=LEN(ReferenceData!$U$83),"",ReferenceData!$U$83),"")</f>
        <v/>
      </c>
      <c r="V83" t="str">
        <f ca="1">IFERROR(IF(0=LEN(ReferenceData!$V$83),"",ReferenceData!$V$83),"")</f>
        <v/>
      </c>
      <c r="W83" t="str">
        <f ca="1">IFERROR(IF(0=LEN(ReferenceData!$W$83),"",ReferenceData!$W$83),"")</f>
        <v/>
      </c>
      <c r="X83" t="str">
        <f ca="1">IFERROR(IF(0=LEN(ReferenceData!$X$83),"",ReferenceData!$X$83),"")</f>
        <v/>
      </c>
      <c r="Y83" t="str">
        <f ca="1">IFERROR(IF(0=LEN(ReferenceData!$Y$83),"",ReferenceData!$Y$83),"")</f>
        <v/>
      </c>
      <c r="Z83" t="str">
        <f ca="1">IFERROR(IF(0=LEN(ReferenceData!$Z$83),"",ReferenceData!$Z$83),"")</f>
        <v/>
      </c>
      <c r="AA83" t="str">
        <f ca="1">IFERROR(IF(0=LEN(ReferenceData!$AA$83),"",ReferenceData!$AA$83),"")</f>
        <v/>
      </c>
      <c r="AB83" t="str">
        <f ca="1">IFERROR(IF(0=LEN(ReferenceData!$AB$83),"",ReferenceData!$AB$83),"")</f>
        <v/>
      </c>
      <c r="AC83" t="str">
        <f ca="1">IFERROR(IF(0=LEN(ReferenceData!$AC$83),"",ReferenceData!$AC$83),"")</f>
        <v/>
      </c>
      <c r="AD83" t="str">
        <f ca="1">IFERROR(IF(0=LEN(ReferenceData!$AD$83),"",ReferenceData!$AD$83),"")</f>
        <v/>
      </c>
      <c r="AE83" t="str">
        <f ca="1">IFERROR(IF(0=LEN(ReferenceData!$AE$83),"",ReferenceData!$AE$83),"")</f>
        <v/>
      </c>
      <c r="AF83" t="str">
        <f ca="1">IFERROR(IF(0=LEN(ReferenceData!$AF$83),"",ReferenceData!$AF$83),"")</f>
        <v/>
      </c>
      <c r="AG83" t="str">
        <f ca="1">IFERROR(IF(0=LEN(ReferenceData!$AG$83),"",ReferenceData!$AG$83),"")</f>
        <v/>
      </c>
      <c r="AH83" t="str">
        <f ca="1">IFERROR(IF(0=LEN(ReferenceData!$AH$83),"",ReferenceData!$AH$83),"")</f>
        <v/>
      </c>
      <c r="AI83" t="str">
        <f ca="1">IFERROR(IF(0=LEN(ReferenceData!$AI$83),"",ReferenceData!$AI$83),"")</f>
        <v/>
      </c>
      <c r="AJ83" t="str">
        <f ca="1">IFERROR(IF(0=LEN(ReferenceData!$AJ$83),"",ReferenceData!$AJ$83),"")</f>
        <v/>
      </c>
      <c r="AK83" t="str">
        <f ca="1">IFERROR(IF(0=LEN(ReferenceData!$AK$83),"",ReferenceData!$AK$83),"")</f>
        <v/>
      </c>
      <c r="AL83" t="str">
        <f ca="1">IFERROR(IF(0=LEN(ReferenceData!$AL$83),"",ReferenceData!$AL$83),"")</f>
        <v/>
      </c>
      <c r="AM83" t="str">
        <f ca="1">IFERROR(IF(0=LEN(ReferenceData!$AM$83),"",ReferenceData!$AM$83),"")</f>
        <v/>
      </c>
      <c r="AN83" t="str">
        <f ca="1">IFERROR(IF(0=LEN(ReferenceData!$AN$83),"",ReferenceData!$AN$83),"")</f>
        <v/>
      </c>
      <c r="AO83" t="str">
        <f ca="1">IFERROR(IF(0=LEN(ReferenceData!$AO$83),"",ReferenceData!$AO$83),"")</f>
        <v/>
      </c>
      <c r="AP83" t="str">
        <f ca="1">IFERROR(IF(0=LEN(ReferenceData!$AP$83),"",ReferenceData!$AP$83),"")</f>
        <v/>
      </c>
      <c r="AQ83" t="str">
        <f ca="1">IFERROR(IF(0=LEN(ReferenceData!$AQ$83),"",ReferenceData!$AQ$83),"")</f>
        <v/>
      </c>
      <c r="AR83" t="str">
        <f ca="1">IFERROR(IF(0=LEN(ReferenceData!$AR$83),"",ReferenceData!$AR$83),"")</f>
        <v/>
      </c>
      <c r="AS83" t="str">
        <f ca="1">IFERROR(IF(0=LEN(ReferenceData!$AS$83),"",ReferenceData!$AS$83),"")</f>
        <v/>
      </c>
      <c r="AT83" t="str">
        <f ca="1">IFERROR(IF(0=LEN(ReferenceData!$AT$83),"",ReferenceData!$AT$83),"")</f>
        <v/>
      </c>
      <c r="AU83" t="str">
        <f ca="1">IFERROR(IF(0=LEN(ReferenceData!$AU$83),"",ReferenceData!$AU$83),"")</f>
        <v/>
      </c>
      <c r="AV83" t="str">
        <f ca="1">IFERROR(IF(0=LEN(ReferenceData!$AV$83),"",ReferenceData!$AV$83),"")</f>
        <v/>
      </c>
      <c r="AW83" t="str">
        <f ca="1">IFERROR(IF(0=LEN(ReferenceData!$AW$83),"",ReferenceData!$AW$83),"")</f>
        <v/>
      </c>
      <c r="AX83" t="str">
        <f ca="1">IFERROR(IF(0=LEN(ReferenceData!$AX$83),"",ReferenceData!$AX$83),"")</f>
        <v/>
      </c>
      <c r="AY83" t="str">
        <f ca="1">IFERROR(IF(0=LEN(ReferenceData!$AY$83),"",ReferenceData!$AY$83),"")</f>
        <v/>
      </c>
      <c r="AZ83" t="str">
        <f ca="1">IFERROR(IF(0=LEN(ReferenceData!$AZ$83),"",ReferenceData!$AZ$83),"")</f>
        <v/>
      </c>
      <c r="BA83" t="str">
        <f ca="1">IFERROR(IF(0=LEN(ReferenceData!$BA$83),"",ReferenceData!$BA$83),"")</f>
        <v/>
      </c>
      <c r="BB83" t="str">
        <f ca="1">IFERROR(IF(0=LEN(ReferenceData!$BB$83),"",ReferenceData!$BB$83),"")</f>
        <v/>
      </c>
      <c r="BC83" t="str">
        <f ca="1">IFERROR(IF(0=LEN(ReferenceData!$BC$83),"",ReferenceData!$BC$83),"")</f>
        <v/>
      </c>
      <c r="BD83" t="str">
        <f ca="1">IFERROR(IF(0=LEN(ReferenceData!$BD$83),"",ReferenceData!$BD$83),"")</f>
        <v/>
      </c>
      <c r="BE83" t="str">
        <f ca="1">IFERROR(IF(0=LEN(ReferenceData!$BE$83),"",ReferenceData!$BE$83),"")</f>
        <v/>
      </c>
      <c r="BF83" t="str">
        <f ca="1">IFERROR(IF(0=LEN(ReferenceData!$BF$83),"",ReferenceData!$BF$83),"")</f>
        <v/>
      </c>
      <c r="BG83" t="str">
        <f ca="1">IFERROR(IF(0=LEN(ReferenceData!$BG$83),"",ReferenceData!$BG$83),"")</f>
        <v/>
      </c>
      <c r="BH83" t="str">
        <f ca="1">IFERROR(IF(0=LEN(ReferenceData!$BH$83),"",ReferenceData!$BH$83),"")</f>
        <v/>
      </c>
      <c r="BI83" t="str">
        <f ca="1">IFERROR(IF(0=LEN(ReferenceData!$BI$83),"",ReferenceData!$BI$83),"")</f>
        <v/>
      </c>
      <c r="BJ83" t="str">
        <f ca="1">IFERROR(IF(0=LEN(ReferenceData!$BJ$83),"",ReferenceData!$BJ$83),"")</f>
        <v/>
      </c>
      <c r="BK83" t="str">
        <f ca="1">IFERROR(IF(0=LEN(ReferenceData!$BK$83),"",ReferenceData!$BK$83),"")</f>
        <v/>
      </c>
      <c r="BL83" t="str">
        <f ca="1">IFERROR(IF(0=LEN(ReferenceData!$BL$83),"",ReferenceData!$BL$83),"")</f>
        <v/>
      </c>
      <c r="BM83" t="str">
        <f ca="1">IFERROR(IF(0=LEN(ReferenceData!$BM$83),"",ReferenceData!$BM$83),"")</f>
        <v/>
      </c>
    </row>
    <row r="84" spans="1:65">
      <c r="A84" t="str">
        <f>IFERROR(IF(0=LEN(ReferenceData!$A$84),"",ReferenceData!$A$84),"")</f>
        <v xml:space="preserve">    Citizens Financial Group Inc</v>
      </c>
      <c r="B84" t="str">
        <f>IFERROR(IF(0=LEN(ReferenceData!$B$84),"",ReferenceData!$B$84),"")</f>
        <v>CFG US Equity</v>
      </c>
      <c r="C84" t="str">
        <f>IFERROR(IF(0=LEN(ReferenceData!$C$84),"",ReferenceData!$C$84),"")</f>
        <v>BS961</v>
      </c>
      <c r="D84" t="str">
        <f>IFERROR(IF(0=LEN(ReferenceData!$D$84),"",ReferenceData!$D$84),"")</f>
        <v>BS_RES_MTG_OWNED_SERVICED_PORT</v>
      </c>
      <c r="E84" t="str">
        <f>IFERROR(IF(0=LEN(ReferenceData!$E$84),"",ReferenceData!$E$84),"")</f>
        <v>Dynamic</v>
      </c>
      <c r="F84" t="str">
        <f ca="1">IFERROR(IF(0=LEN(ReferenceData!$F$84),"",ReferenceData!$F$84),"")</f>
        <v/>
      </c>
      <c r="G84" t="str">
        <f ca="1">IFERROR(IF(0=LEN(ReferenceData!$G$84),"",ReferenceData!$G$84),"")</f>
        <v/>
      </c>
      <c r="H84" t="str">
        <f ca="1">IFERROR(IF(0=LEN(ReferenceData!$H$84),"",ReferenceData!$H$84),"")</f>
        <v/>
      </c>
      <c r="I84" t="str">
        <f ca="1">IFERROR(IF(0=LEN(ReferenceData!$I$84),"",ReferenceData!$I$84),"")</f>
        <v/>
      </c>
      <c r="J84" t="str">
        <f ca="1">IFERROR(IF(0=LEN(ReferenceData!$J$84),"",ReferenceData!$J$84),"")</f>
        <v/>
      </c>
      <c r="K84" t="str">
        <f ca="1">IFERROR(IF(0=LEN(ReferenceData!$K$84),"",ReferenceData!$K$84),"")</f>
        <v/>
      </c>
      <c r="L84" t="str">
        <f ca="1">IFERROR(IF(0=LEN(ReferenceData!$L$84),"",ReferenceData!$L$84),"")</f>
        <v/>
      </c>
      <c r="M84" t="str">
        <f ca="1">IFERROR(IF(0=LEN(ReferenceData!$M$84),"",ReferenceData!$M$84),"")</f>
        <v/>
      </c>
      <c r="N84" t="str">
        <f ca="1">IFERROR(IF(0=LEN(ReferenceData!$N$84),"",ReferenceData!$N$84),"")</f>
        <v/>
      </c>
      <c r="O84" t="str">
        <f ca="1">IFERROR(IF(0=LEN(ReferenceData!$O$84),"",ReferenceData!$O$84),"")</f>
        <v/>
      </c>
      <c r="P84" t="str">
        <f ca="1">IFERROR(IF(0=LEN(ReferenceData!$P$84),"",ReferenceData!$P$84),"")</f>
        <v/>
      </c>
      <c r="Q84" t="str">
        <f ca="1">IFERROR(IF(0=LEN(ReferenceData!$Q$84),"",ReferenceData!$Q$84),"")</f>
        <v/>
      </c>
      <c r="R84" t="str">
        <f ca="1">IFERROR(IF(0=LEN(ReferenceData!$R$84),"",ReferenceData!$R$84),"")</f>
        <v/>
      </c>
      <c r="S84" t="str">
        <f ca="1">IFERROR(IF(0=LEN(ReferenceData!$S$84),"",ReferenceData!$S$84),"")</f>
        <v/>
      </c>
      <c r="T84" t="str">
        <f ca="1">IFERROR(IF(0=LEN(ReferenceData!$T$84),"",ReferenceData!$T$84),"")</f>
        <v/>
      </c>
      <c r="U84" t="str">
        <f ca="1">IFERROR(IF(0=LEN(ReferenceData!$U$84),"",ReferenceData!$U$84),"")</f>
        <v/>
      </c>
      <c r="V84" t="str">
        <f ca="1">IFERROR(IF(0=LEN(ReferenceData!$V$84),"",ReferenceData!$V$84),"")</f>
        <v/>
      </c>
      <c r="W84" t="str">
        <f ca="1">IFERROR(IF(0=LEN(ReferenceData!$W$84),"",ReferenceData!$W$84),"")</f>
        <v/>
      </c>
      <c r="X84" t="str">
        <f ca="1">IFERROR(IF(0=LEN(ReferenceData!$X$84),"",ReferenceData!$X$84),"")</f>
        <v/>
      </c>
      <c r="Y84" t="str">
        <f ca="1">IFERROR(IF(0=LEN(ReferenceData!$Y$84),"",ReferenceData!$Y$84),"")</f>
        <v/>
      </c>
      <c r="Z84" t="str">
        <f ca="1">IFERROR(IF(0=LEN(ReferenceData!$Z$84),"",ReferenceData!$Z$84),"")</f>
        <v/>
      </c>
      <c r="AA84" t="str">
        <f ca="1">IFERROR(IF(0=LEN(ReferenceData!$AA$84),"",ReferenceData!$AA$84),"")</f>
        <v/>
      </c>
      <c r="AB84" t="str">
        <f ca="1">IFERROR(IF(0=LEN(ReferenceData!$AB$84),"",ReferenceData!$AB$84),"")</f>
        <v/>
      </c>
      <c r="AC84" t="str">
        <f ca="1">IFERROR(IF(0=LEN(ReferenceData!$AC$84),"",ReferenceData!$AC$84),"")</f>
        <v/>
      </c>
      <c r="AD84" t="str">
        <f ca="1">IFERROR(IF(0=LEN(ReferenceData!$AD$84),"",ReferenceData!$AD$84),"")</f>
        <v/>
      </c>
      <c r="AE84" t="str">
        <f ca="1">IFERROR(IF(0=LEN(ReferenceData!$AE$84),"",ReferenceData!$AE$84),"")</f>
        <v/>
      </c>
      <c r="AF84" t="str">
        <f ca="1">IFERROR(IF(0=LEN(ReferenceData!$AF$84),"",ReferenceData!$AF$84),"")</f>
        <v/>
      </c>
      <c r="AG84" t="str">
        <f ca="1">IFERROR(IF(0=LEN(ReferenceData!$AG$84),"",ReferenceData!$AG$84),"")</f>
        <v/>
      </c>
      <c r="AH84" t="str">
        <f ca="1">IFERROR(IF(0=LEN(ReferenceData!$AH$84),"",ReferenceData!$AH$84),"")</f>
        <v/>
      </c>
      <c r="AI84" t="str">
        <f ca="1">IFERROR(IF(0=LEN(ReferenceData!$AI$84),"",ReferenceData!$AI$84),"")</f>
        <v/>
      </c>
      <c r="AJ84" t="str">
        <f ca="1">IFERROR(IF(0=LEN(ReferenceData!$AJ$84),"",ReferenceData!$AJ$84),"")</f>
        <v/>
      </c>
      <c r="AK84" t="str">
        <f ca="1">IFERROR(IF(0=LEN(ReferenceData!$AK$84),"",ReferenceData!$AK$84),"")</f>
        <v/>
      </c>
      <c r="AL84" t="str">
        <f ca="1">IFERROR(IF(0=LEN(ReferenceData!$AL$84),"",ReferenceData!$AL$84),"")</f>
        <v/>
      </c>
      <c r="AM84" t="str">
        <f ca="1">IFERROR(IF(0=LEN(ReferenceData!$AM$84),"",ReferenceData!$AM$84),"")</f>
        <v/>
      </c>
      <c r="AN84" t="str">
        <f ca="1">IFERROR(IF(0=LEN(ReferenceData!$AN$84),"",ReferenceData!$AN$84),"")</f>
        <v/>
      </c>
      <c r="AO84" t="str">
        <f ca="1">IFERROR(IF(0=LEN(ReferenceData!$AO$84),"",ReferenceData!$AO$84),"")</f>
        <v/>
      </c>
      <c r="AP84" t="str">
        <f ca="1">IFERROR(IF(0=LEN(ReferenceData!$AP$84),"",ReferenceData!$AP$84),"")</f>
        <v/>
      </c>
      <c r="AQ84" t="str">
        <f ca="1">IFERROR(IF(0=LEN(ReferenceData!$AQ$84),"",ReferenceData!$AQ$84),"")</f>
        <v/>
      </c>
      <c r="AR84" t="str">
        <f ca="1">IFERROR(IF(0=LEN(ReferenceData!$AR$84),"",ReferenceData!$AR$84),"")</f>
        <v/>
      </c>
      <c r="AS84" t="str">
        <f ca="1">IFERROR(IF(0=LEN(ReferenceData!$AS$84),"",ReferenceData!$AS$84),"")</f>
        <v/>
      </c>
      <c r="AT84" t="str">
        <f ca="1">IFERROR(IF(0=LEN(ReferenceData!$AT$84),"",ReferenceData!$AT$84),"")</f>
        <v/>
      </c>
      <c r="AU84" t="str">
        <f ca="1">IFERROR(IF(0=LEN(ReferenceData!$AU$84),"",ReferenceData!$AU$84),"")</f>
        <v/>
      </c>
      <c r="AV84" t="str">
        <f ca="1">IFERROR(IF(0=LEN(ReferenceData!$AV$84),"",ReferenceData!$AV$84),"")</f>
        <v/>
      </c>
      <c r="AW84" t="str">
        <f ca="1">IFERROR(IF(0=LEN(ReferenceData!$AW$84),"",ReferenceData!$AW$84),"")</f>
        <v/>
      </c>
      <c r="AX84" t="str">
        <f ca="1">IFERROR(IF(0=LEN(ReferenceData!$AX$84),"",ReferenceData!$AX$84),"")</f>
        <v/>
      </c>
      <c r="AY84" t="str">
        <f ca="1">IFERROR(IF(0=LEN(ReferenceData!$AY$84),"",ReferenceData!$AY$84),"")</f>
        <v/>
      </c>
      <c r="AZ84" t="str">
        <f ca="1">IFERROR(IF(0=LEN(ReferenceData!$AZ$84),"",ReferenceData!$AZ$84),"")</f>
        <v/>
      </c>
      <c r="BA84" t="str">
        <f ca="1">IFERROR(IF(0=LEN(ReferenceData!$BA$84),"",ReferenceData!$BA$84),"")</f>
        <v/>
      </c>
      <c r="BB84" t="str">
        <f ca="1">IFERROR(IF(0=LEN(ReferenceData!$BB$84),"",ReferenceData!$BB$84),"")</f>
        <v/>
      </c>
      <c r="BC84" t="str">
        <f ca="1">IFERROR(IF(0=LEN(ReferenceData!$BC$84),"",ReferenceData!$BC$84),"")</f>
        <v/>
      </c>
      <c r="BD84" t="str">
        <f ca="1">IFERROR(IF(0=LEN(ReferenceData!$BD$84),"",ReferenceData!$BD$84),"")</f>
        <v/>
      </c>
      <c r="BE84" t="str">
        <f ca="1">IFERROR(IF(0=LEN(ReferenceData!$BE$84),"",ReferenceData!$BE$84),"")</f>
        <v/>
      </c>
      <c r="BF84" t="str">
        <f ca="1">IFERROR(IF(0=LEN(ReferenceData!$BF$84),"",ReferenceData!$BF$84),"")</f>
        <v/>
      </c>
      <c r="BG84" t="str">
        <f ca="1">IFERROR(IF(0=LEN(ReferenceData!$BG$84),"",ReferenceData!$BG$84),"")</f>
        <v/>
      </c>
      <c r="BH84" t="str">
        <f ca="1">IFERROR(IF(0=LEN(ReferenceData!$BH$84),"",ReferenceData!$BH$84),"")</f>
        <v/>
      </c>
      <c r="BI84" t="str">
        <f ca="1">IFERROR(IF(0=LEN(ReferenceData!$BI$84),"",ReferenceData!$BI$84),"")</f>
        <v/>
      </c>
      <c r="BJ84" t="str">
        <f ca="1">IFERROR(IF(0=LEN(ReferenceData!$BJ$84),"",ReferenceData!$BJ$84),"")</f>
        <v/>
      </c>
      <c r="BK84" t="str">
        <f ca="1">IFERROR(IF(0=LEN(ReferenceData!$BK$84),"",ReferenceData!$BK$84),"")</f>
        <v/>
      </c>
      <c r="BL84" t="str">
        <f ca="1">IFERROR(IF(0=LEN(ReferenceData!$BL$84),"",ReferenceData!$BL$84),"")</f>
        <v/>
      </c>
      <c r="BM84" t="str">
        <f ca="1">IFERROR(IF(0=LEN(ReferenceData!$BM$84),"",ReferenceData!$BM$84),"")</f>
        <v/>
      </c>
    </row>
    <row r="85" spans="1:65">
      <c r="A85" t="str">
        <f>IFERROR(IF(0=LEN(ReferenceData!$A$85),"",ReferenceData!$A$85),"")</f>
        <v xml:space="preserve">    Comerica Inc</v>
      </c>
      <c r="B85" t="str">
        <f>IFERROR(IF(0=LEN(ReferenceData!$B$85),"",ReferenceData!$B$85),"")</f>
        <v>CMA US Equity</v>
      </c>
      <c r="C85" t="str">
        <f>IFERROR(IF(0=LEN(ReferenceData!$C$85),"",ReferenceData!$C$85),"")</f>
        <v>BS961</v>
      </c>
      <c r="D85" t="str">
        <f>IFERROR(IF(0=LEN(ReferenceData!$D$85),"",ReferenceData!$D$85),"")</f>
        <v>BS_RES_MTG_OWNED_SERVICED_PORT</v>
      </c>
      <c r="E85" t="str">
        <f>IFERROR(IF(0=LEN(ReferenceData!$E$85),"",ReferenceData!$E$85),"")</f>
        <v>Dynamic</v>
      </c>
      <c r="F85" t="str">
        <f ca="1">IFERROR(IF(0=LEN(ReferenceData!$F$85),"",ReferenceData!$F$85),"")</f>
        <v/>
      </c>
      <c r="G85" t="str">
        <f ca="1">IFERROR(IF(0=LEN(ReferenceData!$G$85),"",ReferenceData!$G$85),"")</f>
        <v/>
      </c>
      <c r="H85" t="str">
        <f ca="1">IFERROR(IF(0=LEN(ReferenceData!$H$85),"",ReferenceData!$H$85),"")</f>
        <v/>
      </c>
      <c r="I85" t="str">
        <f ca="1">IFERROR(IF(0=LEN(ReferenceData!$I$85),"",ReferenceData!$I$85),"")</f>
        <v/>
      </c>
      <c r="J85" t="str">
        <f ca="1">IFERROR(IF(0=LEN(ReferenceData!$J$85),"",ReferenceData!$J$85),"")</f>
        <v/>
      </c>
      <c r="K85" t="str">
        <f ca="1">IFERROR(IF(0=LEN(ReferenceData!$K$85),"",ReferenceData!$K$85),"")</f>
        <v/>
      </c>
      <c r="L85" t="str">
        <f ca="1">IFERROR(IF(0=LEN(ReferenceData!$L$85),"",ReferenceData!$L$85),"")</f>
        <v/>
      </c>
      <c r="M85" t="str">
        <f ca="1">IFERROR(IF(0=LEN(ReferenceData!$M$85),"",ReferenceData!$M$85),"")</f>
        <v/>
      </c>
      <c r="N85" t="str">
        <f ca="1">IFERROR(IF(0=LEN(ReferenceData!$N$85),"",ReferenceData!$N$85),"")</f>
        <v/>
      </c>
      <c r="O85" t="str">
        <f ca="1">IFERROR(IF(0=LEN(ReferenceData!$O$85),"",ReferenceData!$O$85),"")</f>
        <v/>
      </c>
      <c r="P85" t="str">
        <f ca="1">IFERROR(IF(0=LEN(ReferenceData!$P$85),"",ReferenceData!$P$85),"")</f>
        <v/>
      </c>
      <c r="Q85" t="str">
        <f ca="1">IFERROR(IF(0=LEN(ReferenceData!$Q$85),"",ReferenceData!$Q$85),"")</f>
        <v/>
      </c>
      <c r="R85" t="str">
        <f ca="1">IFERROR(IF(0=LEN(ReferenceData!$R$85),"",ReferenceData!$R$85),"")</f>
        <v/>
      </c>
      <c r="S85" t="str">
        <f ca="1">IFERROR(IF(0=LEN(ReferenceData!$S$85),"",ReferenceData!$S$85),"")</f>
        <v/>
      </c>
      <c r="T85" t="str">
        <f ca="1">IFERROR(IF(0=LEN(ReferenceData!$T$85),"",ReferenceData!$T$85),"")</f>
        <v/>
      </c>
      <c r="U85" t="str">
        <f ca="1">IFERROR(IF(0=LEN(ReferenceData!$U$85),"",ReferenceData!$U$85),"")</f>
        <v/>
      </c>
      <c r="V85" t="str">
        <f ca="1">IFERROR(IF(0=LEN(ReferenceData!$V$85),"",ReferenceData!$V$85),"")</f>
        <v/>
      </c>
      <c r="W85" t="str">
        <f ca="1">IFERROR(IF(0=LEN(ReferenceData!$W$85),"",ReferenceData!$W$85),"")</f>
        <v/>
      </c>
      <c r="X85" t="str">
        <f ca="1">IFERROR(IF(0=LEN(ReferenceData!$X$85),"",ReferenceData!$X$85),"")</f>
        <v/>
      </c>
      <c r="Y85" t="str">
        <f ca="1">IFERROR(IF(0=LEN(ReferenceData!$Y$85),"",ReferenceData!$Y$85),"")</f>
        <v/>
      </c>
      <c r="Z85" t="str">
        <f ca="1">IFERROR(IF(0=LEN(ReferenceData!$Z$85),"",ReferenceData!$Z$85),"")</f>
        <v/>
      </c>
      <c r="AA85" t="str">
        <f ca="1">IFERROR(IF(0=LEN(ReferenceData!$AA$85),"",ReferenceData!$AA$85),"")</f>
        <v/>
      </c>
      <c r="AB85" t="str">
        <f ca="1">IFERROR(IF(0=LEN(ReferenceData!$AB$85),"",ReferenceData!$AB$85),"")</f>
        <v/>
      </c>
      <c r="AC85" t="str">
        <f ca="1">IFERROR(IF(0=LEN(ReferenceData!$AC$85),"",ReferenceData!$AC$85),"")</f>
        <v/>
      </c>
      <c r="AD85" t="str">
        <f ca="1">IFERROR(IF(0=LEN(ReferenceData!$AD$85),"",ReferenceData!$AD$85),"")</f>
        <v/>
      </c>
      <c r="AE85" t="str">
        <f ca="1">IFERROR(IF(0=LEN(ReferenceData!$AE$85),"",ReferenceData!$AE$85),"")</f>
        <v/>
      </c>
      <c r="AF85" t="str">
        <f ca="1">IFERROR(IF(0=LEN(ReferenceData!$AF$85),"",ReferenceData!$AF$85),"")</f>
        <v/>
      </c>
      <c r="AG85" t="str">
        <f ca="1">IFERROR(IF(0=LEN(ReferenceData!$AG$85),"",ReferenceData!$AG$85),"")</f>
        <v/>
      </c>
      <c r="AH85" t="str">
        <f ca="1">IFERROR(IF(0=LEN(ReferenceData!$AH$85),"",ReferenceData!$AH$85),"")</f>
        <v/>
      </c>
      <c r="AI85" t="str">
        <f ca="1">IFERROR(IF(0=LEN(ReferenceData!$AI$85),"",ReferenceData!$AI$85),"")</f>
        <v/>
      </c>
      <c r="AJ85" t="str">
        <f ca="1">IFERROR(IF(0=LEN(ReferenceData!$AJ$85),"",ReferenceData!$AJ$85),"")</f>
        <v/>
      </c>
      <c r="AK85" t="str">
        <f ca="1">IFERROR(IF(0=LEN(ReferenceData!$AK$85),"",ReferenceData!$AK$85),"")</f>
        <v/>
      </c>
      <c r="AL85" t="str">
        <f ca="1">IFERROR(IF(0=LEN(ReferenceData!$AL$85),"",ReferenceData!$AL$85),"")</f>
        <v/>
      </c>
      <c r="AM85" t="str">
        <f ca="1">IFERROR(IF(0=LEN(ReferenceData!$AM$85),"",ReferenceData!$AM$85),"")</f>
        <v/>
      </c>
      <c r="AN85" t="str">
        <f ca="1">IFERROR(IF(0=LEN(ReferenceData!$AN$85),"",ReferenceData!$AN$85),"")</f>
        <v/>
      </c>
      <c r="AO85" t="str">
        <f ca="1">IFERROR(IF(0=LEN(ReferenceData!$AO$85),"",ReferenceData!$AO$85),"")</f>
        <v/>
      </c>
      <c r="AP85" t="str">
        <f ca="1">IFERROR(IF(0=LEN(ReferenceData!$AP$85),"",ReferenceData!$AP$85),"")</f>
        <v/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  <c r="AT85" t="str">
        <f ca="1">IFERROR(IF(0=LEN(ReferenceData!$AT$85),"",ReferenceData!$AT$85),"")</f>
        <v/>
      </c>
      <c r="AU85" t="str">
        <f ca="1">IFERROR(IF(0=LEN(ReferenceData!$AU$85),"",ReferenceData!$AU$85),"")</f>
        <v/>
      </c>
      <c r="AV85" t="str">
        <f ca="1">IFERROR(IF(0=LEN(ReferenceData!$AV$85),"",ReferenceData!$AV$85),"")</f>
        <v/>
      </c>
      <c r="AW85" t="str">
        <f ca="1">IFERROR(IF(0=LEN(ReferenceData!$AW$85),"",ReferenceData!$AW$85),"")</f>
        <v/>
      </c>
      <c r="AX85" t="str">
        <f ca="1">IFERROR(IF(0=LEN(ReferenceData!$AX$85),"",ReferenceData!$AX$85),"")</f>
        <v/>
      </c>
      <c r="AY85" t="str">
        <f ca="1">IFERROR(IF(0=LEN(ReferenceData!$AY$85),"",ReferenceData!$AY$85),"")</f>
        <v/>
      </c>
      <c r="AZ85" t="str">
        <f ca="1">IFERROR(IF(0=LEN(ReferenceData!$AZ$85),"",ReferenceData!$AZ$85),"")</f>
        <v/>
      </c>
      <c r="BA85" t="str">
        <f ca="1">IFERROR(IF(0=LEN(ReferenceData!$BA$85),"",ReferenceData!$BA$85),"")</f>
        <v/>
      </c>
      <c r="BB85" t="str">
        <f ca="1">IFERROR(IF(0=LEN(ReferenceData!$BB$85),"",ReferenceData!$BB$85),"")</f>
        <v/>
      </c>
      <c r="BC85" t="str">
        <f ca="1">IFERROR(IF(0=LEN(ReferenceData!$BC$85),"",ReferenceData!$BC$85),"")</f>
        <v/>
      </c>
      <c r="BD85" t="str">
        <f ca="1">IFERROR(IF(0=LEN(ReferenceData!$BD$85),"",ReferenceData!$BD$85),"")</f>
        <v/>
      </c>
      <c r="BE85" t="str">
        <f ca="1">IFERROR(IF(0=LEN(ReferenceData!$BE$85),"",ReferenceData!$BE$85),"")</f>
        <v/>
      </c>
      <c r="BF85" t="str">
        <f ca="1">IFERROR(IF(0=LEN(ReferenceData!$BF$85),"",ReferenceData!$BF$85),"")</f>
        <v/>
      </c>
      <c r="BG85" t="str">
        <f ca="1">IFERROR(IF(0=LEN(ReferenceData!$BG$85),"",ReferenceData!$BG$85),"")</f>
        <v/>
      </c>
      <c r="BH85" t="str">
        <f ca="1">IFERROR(IF(0=LEN(ReferenceData!$BH$85),"",ReferenceData!$BH$85),"")</f>
        <v/>
      </c>
      <c r="BI85" t="str">
        <f ca="1">IFERROR(IF(0=LEN(ReferenceData!$BI$85),"",ReferenceData!$BI$85),"")</f>
        <v/>
      </c>
      <c r="BJ85" t="str">
        <f ca="1">IFERROR(IF(0=LEN(ReferenceData!$BJ$85),"",ReferenceData!$BJ$85),"")</f>
        <v/>
      </c>
      <c r="BK85" t="str">
        <f ca="1">IFERROR(IF(0=LEN(ReferenceData!$BK$85),"",ReferenceData!$BK$85),"")</f>
        <v/>
      </c>
      <c r="BL85" t="str">
        <f ca="1">IFERROR(IF(0=LEN(ReferenceData!$BL$85),"",ReferenceData!$BL$85),"")</f>
        <v/>
      </c>
      <c r="BM85" t="str">
        <f ca="1">IFERROR(IF(0=LEN(ReferenceData!$BM$85),"",ReferenceData!$BM$85),"")</f>
        <v/>
      </c>
    </row>
    <row r="86" spans="1:65">
      <c r="A86" t="str">
        <f>IFERROR(IF(0=LEN(ReferenceData!$A$86),"",ReferenceData!$A$86),"")</f>
        <v xml:space="preserve">    East West Bancorp Inc</v>
      </c>
      <c r="B86" t="str">
        <f>IFERROR(IF(0=LEN(ReferenceData!$B$86),"",ReferenceData!$B$86),"")</f>
        <v>EWBC US Equity</v>
      </c>
      <c r="C86" t="str">
        <f>IFERROR(IF(0=LEN(ReferenceData!$C$86),"",ReferenceData!$C$86),"")</f>
        <v>BS961</v>
      </c>
      <c r="D86" t="str">
        <f>IFERROR(IF(0=LEN(ReferenceData!$D$86),"",ReferenceData!$D$86),"")</f>
        <v>BS_RES_MTG_OWNED_SERVICED_PORT</v>
      </c>
      <c r="E86" t="str">
        <f>IFERROR(IF(0=LEN(ReferenceData!$E$86),"",ReferenceData!$E$86),"")</f>
        <v>Dynamic</v>
      </c>
      <c r="F86" t="str">
        <f ca="1">IFERROR(IF(0=LEN(ReferenceData!$F$86),"",ReferenceData!$F$86),"")</f>
        <v/>
      </c>
      <c r="G86" t="str">
        <f ca="1">IFERROR(IF(0=LEN(ReferenceData!$G$86),"",ReferenceData!$G$86),"")</f>
        <v/>
      </c>
      <c r="H86" t="str">
        <f ca="1">IFERROR(IF(0=LEN(ReferenceData!$H$86),"",ReferenceData!$H$86),"")</f>
        <v/>
      </c>
      <c r="I86" t="str">
        <f ca="1">IFERROR(IF(0=LEN(ReferenceData!$I$86),"",ReferenceData!$I$86),"")</f>
        <v/>
      </c>
      <c r="J86" t="str">
        <f ca="1">IFERROR(IF(0=LEN(ReferenceData!$J$86),"",ReferenceData!$J$86),"")</f>
        <v/>
      </c>
      <c r="K86" t="str">
        <f ca="1">IFERROR(IF(0=LEN(ReferenceData!$K$86),"",ReferenceData!$K$86),"")</f>
        <v/>
      </c>
      <c r="L86" t="str">
        <f ca="1">IFERROR(IF(0=LEN(ReferenceData!$L$86),"",ReferenceData!$L$86),"")</f>
        <v/>
      </c>
      <c r="M86" t="str">
        <f ca="1">IFERROR(IF(0=LEN(ReferenceData!$M$86),"",ReferenceData!$M$86),"")</f>
        <v/>
      </c>
      <c r="N86" t="str">
        <f ca="1">IFERROR(IF(0=LEN(ReferenceData!$N$86),"",ReferenceData!$N$86),"")</f>
        <v/>
      </c>
      <c r="O86" t="str">
        <f ca="1">IFERROR(IF(0=LEN(ReferenceData!$O$86),"",ReferenceData!$O$86),"")</f>
        <v/>
      </c>
      <c r="P86" t="str">
        <f ca="1">IFERROR(IF(0=LEN(ReferenceData!$P$86),"",ReferenceData!$P$86),"")</f>
        <v/>
      </c>
      <c r="Q86" t="str">
        <f ca="1">IFERROR(IF(0=LEN(ReferenceData!$Q$86),"",ReferenceData!$Q$86),"")</f>
        <v/>
      </c>
      <c r="R86" t="str">
        <f ca="1">IFERROR(IF(0=LEN(ReferenceData!$R$86),"",ReferenceData!$R$86),"")</f>
        <v/>
      </c>
      <c r="S86" t="str">
        <f ca="1">IFERROR(IF(0=LEN(ReferenceData!$S$86),"",ReferenceData!$S$86),"")</f>
        <v/>
      </c>
      <c r="T86" t="str">
        <f ca="1">IFERROR(IF(0=LEN(ReferenceData!$T$86),"",ReferenceData!$T$86),"")</f>
        <v/>
      </c>
      <c r="U86" t="str">
        <f ca="1">IFERROR(IF(0=LEN(ReferenceData!$U$86),"",ReferenceData!$U$86),"")</f>
        <v/>
      </c>
      <c r="V86" t="str">
        <f ca="1">IFERROR(IF(0=LEN(ReferenceData!$V$86),"",ReferenceData!$V$86),"")</f>
        <v/>
      </c>
      <c r="W86" t="str">
        <f ca="1">IFERROR(IF(0=LEN(ReferenceData!$W$86),"",ReferenceData!$W$86),"")</f>
        <v/>
      </c>
      <c r="X86" t="str">
        <f ca="1">IFERROR(IF(0=LEN(ReferenceData!$X$86),"",ReferenceData!$X$86),"")</f>
        <v/>
      </c>
      <c r="Y86" t="str">
        <f ca="1">IFERROR(IF(0=LEN(ReferenceData!$Y$86),"",ReferenceData!$Y$86),"")</f>
        <v/>
      </c>
      <c r="Z86" t="str">
        <f ca="1">IFERROR(IF(0=LEN(ReferenceData!$Z$86),"",ReferenceData!$Z$86),"")</f>
        <v/>
      </c>
      <c r="AA86" t="str">
        <f ca="1">IFERROR(IF(0=LEN(ReferenceData!$AA$86),"",ReferenceData!$AA$86),"")</f>
        <v/>
      </c>
      <c r="AB86" t="str">
        <f ca="1">IFERROR(IF(0=LEN(ReferenceData!$AB$86),"",ReferenceData!$AB$86),"")</f>
        <v/>
      </c>
      <c r="AC86" t="str">
        <f ca="1">IFERROR(IF(0=LEN(ReferenceData!$AC$86),"",ReferenceData!$AC$86),"")</f>
        <v/>
      </c>
      <c r="AD86" t="str">
        <f ca="1">IFERROR(IF(0=LEN(ReferenceData!$AD$86),"",ReferenceData!$AD$86),"")</f>
        <v/>
      </c>
      <c r="AE86" t="str">
        <f ca="1">IFERROR(IF(0=LEN(ReferenceData!$AE$86),"",ReferenceData!$AE$86),"")</f>
        <v/>
      </c>
      <c r="AF86" t="str">
        <f ca="1">IFERROR(IF(0=LEN(ReferenceData!$AF$86),"",ReferenceData!$AF$86),"")</f>
        <v/>
      </c>
      <c r="AG86" t="str">
        <f ca="1">IFERROR(IF(0=LEN(ReferenceData!$AG$86),"",ReferenceData!$AG$86),"")</f>
        <v/>
      </c>
      <c r="AH86" t="str">
        <f ca="1">IFERROR(IF(0=LEN(ReferenceData!$AH$86),"",ReferenceData!$AH$86),"")</f>
        <v/>
      </c>
      <c r="AI86" t="str">
        <f ca="1">IFERROR(IF(0=LEN(ReferenceData!$AI$86),"",ReferenceData!$AI$86),"")</f>
        <v/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 t="str">
        <f ca="1">IFERROR(IF(0=LEN(ReferenceData!$AN$86),"",ReferenceData!$AN$86),"")</f>
        <v/>
      </c>
      <c r="AO86" t="str">
        <f ca="1">IFERROR(IF(0=LEN(ReferenceData!$AO$86),"",ReferenceData!$AO$86),"")</f>
        <v/>
      </c>
      <c r="AP86" t="str">
        <f ca="1">IFERROR(IF(0=LEN(ReferenceData!$AP$86),"",ReferenceData!$AP$86),"")</f>
        <v/>
      </c>
      <c r="AQ86" t="str">
        <f ca="1">IFERROR(IF(0=LEN(ReferenceData!$AQ$86),"",ReferenceData!$AQ$86),"")</f>
        <v/>
      </c>
      <c r="AR86" t="str">
        <f ca="1">IFERROR(IF(0=LEN(ReferenceData!$AR$86),"",ReferenceData!$AR$86),"")</f>
        <v/>
      </c>
      <c r="AS86" t="str">
        <f ca="1">IFERROR(IF(0=LEN(ReferenceData!$AS$86),"",ReferenceData!$AS$86),"")</f>
        <v/>
      </c>
      <c r="AT86" t="str">
        <f ca="1">IFERROR(IF(0=LEN(ReferenceData!$AT$86),"",ReferenceData!$AT$86),"")</f>
        <v/>
      </c>
      <c r="AU86" t="str">
        <f ca="1">IFERROR(IF(0=LEN(ReferenceData!$AU$86),"",ReferenceData!$AU$86),"")</f>
        <v/>
      </c>
      <c r="AV86" t="str">
        <f ca="1">IFERROR(IF(0=LEN(ReferenceData!$AV$86),"",ReferenceData!$AV$86),"")</f>
        <v/>
      </c>
      <c r="AW86" t="str">
        <f ca="1">IFERROR(IF(0=LEN(ReferenceData!$AW$86),"",ReferenceData!$AW$86),"")</f>
        <v/>
      </c>
      <c r="AX86" t="str">
        <f ca="1">IFERROR(IF(0=LEN(ReferenceData!$AX$86),"",ReferenceData!$AX$86),"")</f>
        <v/>
      </c>
      <c r="AY86" t="str">
        <f ca="1">IFERROR(IF(0=LEN(ReferenceData!$AY$86),"",ReferenceData!$AY$86),"")</f>
        <v/>
      </c>
      <c r="AZ86" t="str">
        <f ca="1">IFERROR(IF(0=LEN(ReferenceData!$AZ$86),"",ReferenceData!$AZ$86),"")</f>
        <v/>
      </c>
      <c r="BA86" t="str">
        <f ca="1">IFERROR(IF(0=LEN(ReferenceData!$BA$86),"",ReferenceData!$BA$86),"")</f>
        <v/>
      </c>
      <c r="BB86" t="str">
        <f ca="1">IFERROR(IF(0=LEN(ReferenceData!$BB$86),"",ReferenceData!$BB$86),"")</f>
        <v/>
      </c>
      <c r="BC86" t="str">
        <f ca="1">IFERROR(IF(0=LEN(ReferenceData!$BC$86),"",ReferenceData!$BC$86),"")</f>
        <v/>
      </c>
      <c r="BD86" t="str">
        <f ca="1">IFERROR(IF(0=LEN(ReferenceData!$BD$86),"",ReferenceData!$BD$86),"")</f>
        <v/>
      </c>
      <c r="BE86" t="str">
        <f ca="1">IFERROR(IF(0=LEN(ReferenceData!$BE$86),"",ReferenceData!$BE$86),"")</f>
        <v/>
      </c>
      <c r="BF86" t="str">
        <f ca="1">IFERROR(IF(0=LEN(ReferenceData!$BF$86),"",ReferenceData!$BF$86),"")</f>
        <v/>
      </c>
      <c r="BG86" t="str">
        <f ca="1">IFERROR(IF(0=LEN(ReferenceData!$BG$86),"",ReferenceData!$BG$86),"")</f>
        <v/>
      </c>
      <c r="BH86" t="str">
        <f ca="1">IFERROR(IF(0=LEN(ReferenceData!$BH$86),"",ReferenceData!$BH$86),"")</f>
        <v/>
      </c>
      <c r="BI86" t="str">
        <f ca="1">IFERROR(IF(0=LEN(ReferenceData!$BI$86),"",ReferenceData!$BI$86),"")</f>
        <v/>
      </c>
      <c r="BJ86" t="str">
        <f ca="1">IFERROR(IF(0=LEN(ReferenceData!$BJ$86),"",ReferenceData!$BJ$86),"")</f>
        <v/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>
      <c r="A87" t="str">
        <f>IFERROR(IF(0=LEN(ReferenceData!$A$87),"",ReferenceData!$A$87),"")</f>
        <v xml:space="preserve">    First Horizon Corp</v>
      </c>
      <c r="B87" t="str">
        <f>IFERROR(IF(0=LEN(ReferenceData!$B$87),"",ReferenceData!$B$87),"")</f>
        <v>FHN US Equity</v>
      </c>
      <c r="C87" t="str">
        <f>IFERROR(IF(0=LEN(ReferenceData!$C$87),"",ReferenceData!$C$87),"")</f>
        <v>BS961</v>
      </c>
      <c r="D87" t="str">
        <f>IFERROR(IF(0=LEN(ReferenceData!$D$87),"",ReferenceData!$D$87),"")</f>
        <v>BS_RES_MTG_OWNED_SERVICED_PORT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 t="str">
        <f ca="1">IFERROR(IF(0=LEN(ReferenceData!$G$87),"",ReferenceData!$G$87),"")</f>
        <v/>
      </c>
      <c r="H87" t="str">
        <f ca="1">IFERROR(IF(0=LEN(ReferenceData!$H$87),"",ReferenceData!$H$87),"")</f>
        <v/>
      </c>
      <c r="I87" t="str">
        <f ca="1">IFERROR(IF(0=LEN(ReferenceData!$I$87),"",ReferenceData!$I$87),"")</f>
        <v/>
      </c>
      <c r="J87" t="str">
        <f ca="1">IFERROR(IF(0=LEN(ReferenceData!$J$87),"",ReferenceData!$J$87),"")</f>
        <v/>
      </c>
      <c r="K87" t="str">
        <f ca="1">IFERROR(IF(0=LEN(ReferenceData!$K$87),"",ReferenceData!$K$87),"")</f>
        <v/>
      </c>
      <c r="L87" t="str">
        <f ca="1">IFERROR(IF(0=LEN(ReferenceData!$L$87),"",ReferenceData!$L$87),"")</f>
        <v/>
      </c>
      <c r="M87" t="str">
        <f ca="1">IFERROR(IF(0=LEN(ReferenceData!$M$87),"",ReferenceData!$M$87),"")</f>
        <v/>
      </c>
      <c r="N87" t="str">
        <f ca="1">IFERROR(IF(0=LEN(ReferenceData!$N$87),"",ReferenceData!$N$87),"")</f>
        <v/>
      </c>
      <c r="O87" t="str">
        <f ca="1">IFERROR(IF(0=LEN(ReferenceData!$O$87),"",ReferenceData!$O$87),"")</f>
        <v/>
      </c>
      <c r="P87" t="str">
        <f ca="1">IFERROR(IF(0=LEN(ReferenceData!$P$87),"",ReferenceData!$P$87),"")</f>
        <v/>
      </c>
      <c r="Q87" t="str">
        <f ca="1">IFERROR(IF(0=LEN(ReferenceData!$Q$87),"",ReferenceData!$Q$87),"")</f>
        <v/>
      </c>
      <c r="R87" t="str">
        <f ca="1">IFERROR(IF(0=LEN(ReferenceData!$R$87),"",ReferenceData!$R$87),"")</f>
        <v/>
      </c>
      <c r="S87" t="str">
        <f ca="1">IFERROR(IF(0=LEN(ReferenceData!$S$87),"",ReferenceData!$S$87),"")</f>
        <v/>
      </c>
      <c r="T87" t="str">
        <f ca="1">IFERROR(IF(0=LEN(ReferenceData!$T$87),"",ReferenceData!$T$87),"")</f>
        <v/>
      </c>
      <c r="U87" t="str">
        <f ca="1">IFERROR(IF(0=LEN(ReferenceData!$U$87),"",ReferenceData!$U$87),"")</f>
        <v/>
      </c>
      <c r="V87" t="str">
        <f ca="1">IFERROR(IF(0=LEN(ReferenceData!$V$87),"",ReferenceData!$V$87),"")</f>
        <v/>
      </c>
      <c r="W87" t="str">
        <f ca="1">IFERROR(IF(0=LEN(ReferenceData!$W$87),"",ReferenceData!$W$87),"")</f>
        <v/>
      </c>
      <c r="X87" t="str">
        <f ca="1">IFERROR(IF(0=LEN(ReferenceData!$X$87),"",ReferenceData!$X$87),"")</f>
        <v/>
      </c>
      <c r="Y87" t="str">
        <f ca="1">IFERROR(IF(0=LEN(ReferenceData!$Y$87),"",ReferenceData!$Y$87),"")</f>
        <v/>
      </c>
      <c r="Z87" t="str">
        <f ca="1">IFERROR(IF(0=LEN(ReferenceData!$Z$87),"",ReferenceData!$Z$87),"")</f>
        <v/>
      </c>
      <c r="AA87" t="str">
        <f ca="1">IFERROR(IF(0=LEN(ReferenceData!$AA$87),"",ReferenceData!$AA$87),"")</f>
        <v/>
      </c>
      <c r="AB87" t="str">
        <f ca="1">IFERROR(IF(0=LEN(ReferenceData!$AB$87),"",ReferenceData!$AB$87),"")</f>
        <v/>
      </c>
      <c r="AC87" t="str">
        <f ca="1">IFERROR(IF(0=LEN(ReferenceData!$AC$87),"",ReferenceData!$AC$87),"")</f>
        <v/>
      </c>
      <c r="AD87" t="str">
        <f ca="1">IFERROR(IF(0=LEN(ReferenceData!$AD$87),"",ReferenceData!$AD$87),"")</f>
        <v/>
      </c>
      <c r="AE87" t="str">
        <f ca="1">IFERROR(IF(0=LEN(ReferenceData!$AE$87),"",ReferenceData!$AE$87),"")</f>
        <v/>
      </c>
      <c r="AF87" t="str">
        <f ca="1">IFERROR(IF(0=LEN(ReferenceData!$AF$87),"",ReferenceData!$AF$87),"")</f>
        <v/>
      </c>
      <c r="AG87" t="str">
        <f ca="1">IFERROR(IF(0=LEN(ReferenceData!$AG$87),"",ReferenceData!$AG$87),"")</f>
        <v/>
      </c>
      <c r="AH87" t="str">
        <f ca="1">IFERROR(IF(0=LEN(ReferenceData!$AH$87),"",ReferenceData!$AH$87),"")</f>
        <v/>
      </c>
      <c r="AI87" t="str">
        <f ca="1">IFERROR(IF(0=LEN(ReferenceData!$AI$87),"",ReferenceData!$AI$87),"")</f>
        <v/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 t="str">
        <f ca="1">IFERROR(IF(0=LEN(ReferenceData!$AN$87),"",ReferenceData!$AN$87),"")</f>
        <v/>
      </c>
      <c r="AO87" t="str">
        <f ca="1">IFERROR(IF(0=LEN(ReferenceData!$AO$87),"",ReferenceData!$AO$87),"")</f>
        <v/>
      </c>
      <c r="AP87" t="str">
        <f ca="1">IFERROR(IF(0=LEN(ReferenceData!$AP$87),"",ReferenceData!$AP$87),"")</f>
        <v/>
      </c>
      <c r="AQ87" t="str">
        <f ca="1">IFERROR(IF(0=LEN(ReferenceData!$AQ$87),"",ReferenceData!$AQ$87),"")</f>
        <v/>
      </c>
      <c r="AR87" t="str">
        <f ca="1">IFERROR(IF(0=LEN(ReferenceData!$AR$87),"",ReferenceData!$AR$87),"")</f>
        <v/>
      </c>
      <c r="AS87" t="str">
        <f ca="1">IFERROR(IF(0=LEN(ReferenceData!$AS$87),"",ReferenceData!$AS$87),"")</f>
        <v/>
      </c>
      <c r="AT87" t="str">
        <f ca="1">IFERROR(IF(0=LEN(ReferenceData!$AT$87),"",ReferenceData!$AT$87),"")</f>
        <v/>
      </c>
      <c r="AU87" t="str">
        <f ca="1">IFERROR(IF(0=LEN(ReferenceData!$AU$87),"",ReferenceData!$AU$87),"")</f>
        <v/>
      </c>
      <c r="AV87" t="str">
        <f ca="1">IFERROR(IF(0=LEN(ReferenceData!$AV$87),"",ReferenceData!$AV$87),"")</f>
        <v/>
      </c>
      <c r="AW87" t="str">
        <f ca="1">IFERROR(IF(0=LEN(ReferenceData!$AW$87),"",ReferenceData!$AW$87),"")</f>
        <v/>
      </c>
      <c r="AX87" t="str">
        <f ca="1">IFERROR(IF(0=LEN(ReferenceData!$AX$87),"",ReferenceData!$AX$87),"")</f>
        <v/>
      </c>
      <c r="AY87" t="str">
        <f ca="1">IFERROR(IF(0=LEN(ReferenceData!$AY$87),"",ReferenceData!$AY$87),"")</f>
        <v/>
      </c>
      <c r="AZ87" t="str">
        <f ca="1">IFERROR(IF(0=LEN(ReferenceData!$AZ$87),"",ReferenceData!$AZ$87),"")</f>
        <v/>
      </c>
      <c r="BA87" t="str">
        <f ca="1">IFERROR(IF(0=LEN(ReferenceData!$BA$87),"",ReferenceData!$BA$87),"")</f>
        <v/>
      </c>
      <c r="BB87" t="str">
        <f ca="1">IFERROR(IF(0=LEN(ReferenceData!$BB$87),"",ReferenceData!$BB$87),"")</f>
        <v/>
      </c>
      <c r="BC87" t="str">
        <f ca="1">IFERROR(IF(0=LEN(ReferenceData!$BC$87),"",ReferenceData!$BC$87),"")</f>
        <v/>
      </c>
      <c r="BD87" t="str">
        <f ca="1">IFERROR(IF(0=LEN(ReferenceData!$BD$87),"",ReferenceData!$BD$87),"")</f>
        <v/>
      </c>
      <c r="BE87" t="str">
        <f ca="1">IFERROR(IF(0=LEN(ReferenceData!$BE$87),"",ReferenceData!$BE$87),"")</f>
        <v/>
      </c>
      <c r="BF87" t="str">
        <f ca="1">IFERROR(IF(0=LEN(ReferenceData!$BF$87),"",ReferenceData!$BF$87),"")</f>
        <v/>
      </c>
      <c r="BG87" t="str">
        <f ca="1">IFERROR(IF(0=LEN(ReferenceData!$BG$87),"",ReferenceData!$BG$87),"")</f>
        <v/>
      </c>
      <c r="BH87" t="str">
        <f ca="1">IFERROR(IF(0=LEN(ReferenceData!$BH$87),"",ReferenceData!$BH$87),"")</f>
        <v/>
      </c>
      <c r="BI87" t="str">
        <f ca="1">IFERROR(IF(0=LEN(ReferenceData!$BI$87),"",ReferenceData!$BI$87),"")</f>
        <v/>
      </c>
      <c r="BJ87" t="str">
        <f ca="1">IFERROR(IF(0=LEN(ReferenceData!$BJ$87),"",ReferenceData!$BJ$87),"")</f>
        <v/>
      </c>
      <c r="BK87" t="str">
        <f ca="1">IFERROR(IF(0=LEN(ReferenceData!$BK$87),"",ReferenceData!$BK$87),"")</f>
        <v/>
      </c>
      <c r="BL87" t="str">
        <f ca="1">IFERROR(IF(0=LEN(ReferenceData!$BL$87),"",ReferenceData!$BL$87),"")</f>
        <v/>
      </c>
      <c r="BM87" t="str">
        <f ca="1">IFERROR(IF(0=LEN(ReferenceData!$BM$87),"",ReferenceData!$BM$87),"")</f>
        <v/>
      </c>
    </row>
    <row r="88" spans="1:65">
      <c r="A88" t="str">
        <f>IFERROR(IF(0=LEN(ReferenceData!$A$88),"",ReferenceData!$A$88),"")</f>
        <v xml:space="preserve">    First Republic Bank/CA</v>
      </c>
      <c r="B88" t="str">
        <f>IFERROR(IF(0=LEN(ReferenceData!$B$88),"",ReferenceData!$B$88),"")</f>
        <v>FRCB US Equity</v>
      </c>
      <c r="C88" t="str">
        <f>IFERROR(IF(0=LEN(ReferenceData!$C$88),"",ReferenceData!$C$88),"")</f>
        <v>BS961</v>
      </c>
      <c r="D88" t="str">
        <f>IFERROR(IF(0=LEN(ReferenceData!$D$88),"",ReferenceData!$D$88),"")</f>
        <v>BS_RES_MTG_OWNED_SERVICED_PORT</v>
      </c>
      <c r="E88" t="str">
        <f>IFERROR(IF(0=LEN(ReferenceData!$E$88),"",ReferenceData!$E$88),"")</f>
        <v>Dynamic</v>
      </c>
      <c r="F88" t="str">
        <f ca="1">IFERROR(IF(0=LEN(ReferenceData!$F$88),"",ReferenceData!$F$88),"")</f>
        <v/>
      </c>
      <c r="G88" t="str">
        <f ca="1">IFERROR(IF(0=LEN(ReferenceData!$G$88),"",ReferenceData!$G$88),"")</f>
        <v/>
      </c>
      <c r="H88" t="str">
        <f ca="1">IFERROR(IF(0=LEN(ReferenceData!$H$88),"",ReferenceData!$H$88),"")</f>
        <v/>
      </c>
      <c r="I88" t="str">
        <f ca="1">IFERROR(IF(0=LEN(ReferenceData!$I$88),"",ReferenceData!$I$88),"")</f>
        <v/>
      </c>
      <c r="J88" t="str">
        <f ca="1">IFERROR(IF(0=LEN(ReferenceData!$J$88),"",ReferenceData!$J$88),"")</f>
        <v/>
      </c>
      <c r="K88" t="str">
        <f ca="1">IFERROR(IF(0=LEN(ReferenceData!$K$88),"",ReferenceData!$K$88),"")</f>
        <v/>
      </c>
      <c r="L88" t="str">
        <f ca="1">IFERROR(IF(0=LEN(ReferenceData!$L$88),"",ReferenceData!$L$88),"")</f>
        <v/>
      </c>
      <c r="M88" t="str">
        <f ca="1">IFERROR(IF(0=LEN(ReferenceData!$M$88),"",ReferenceData!$M$88),"")</f>
        <v/>
      </c>
      <c r="N88" t="str">
        <f ca="1">IFERROR(IF(0=LEN(ReferenceData!$N$88),"",ReferenceData!$N$88),"")</f>
        <v/>
      </c>
      <c r="O88" t="str">
        <f ca="1">IFERROR(IF(0=LEN(ReferenceData!$O$88),"",ReferenceData!$O$88),"")</f>
        <v/>
      </c>
      <c r="P88" t="str">
        <f ca="1">IFERROR(IF(0=LEN(ReferenceData!$P$88),"",ReferenceData!$P$88),"")</f>
        <v/>
      </c>
      <c r="Q88" t="str">
        <f ca="1">IFERROR(IF(0=LEN(ReferenceData!$Q$88),"",ReferenceData!$Q$88),"")</f>
        <v/>
      </c>
      <c r="R88" t="str">
        <f ca="1">IFERROR(IF(0=LEN(ReferenceData!$R$88),"",ReferenceData!$R$88),"")</f>
        <v/>
      </c>
      <c r="S88" t="str">
        <f ca="1">IFERROR(IF(0=LEN(ReferenceData!$S$88),"",ReferenceData!$S$88),"")</f>
        <v/>
      </c>
      <c r="T88" t="str">
        <f ca="1">IFERROR(IF(0=LEN(ReferenceData!$T$88),"",ReferenceData!$T$88),"")</f>
        <v/>
      </c>
      <c r="U88" t="str">
        <f ca="1">IFERROR(IF(0=LEN(ReferenceData!$U$88),"",ReferenceData!$U$88),"")</f>
        <v/>
      </c>
      <c r="V88" t="str">
        <f ca="1">IFERROR(IF(0=LEN(ReferenceData!$V$88),"",ReferenceData!$V$88),"")</f>
        <v/>
      </c>
      <c r="W88" t="str">
        <f ca="1">IFERROR(IF(0=LEN(ReferenceData!$W$88),"",ReferenceData!$W$88),"")</f>
        <v/>
      </c>
      <c r="X88" t="str">
        <f ca="1">IFERROR(IF(0=LEN(ReferenceData!$X$88),"",ReferenceData!$X$88),"")</f>
        <v/>
      </c>
      <c r="Y88" t="str">
        <f ca="1">IFERROR(IF(0=LEN(ReferenceData!$Y$88),"",ReferenceData!$Y$88),"")</f>
        <v/>
      </c>
      <c r="Z88" t="str">
        <f ca="1">IFERROR(IF(0=LEN(ReferenceData!$Z$88),"",ReferenceData!$Z$88),"")</f>
        <v/>
      </c>
      <c r="AA88" t="str">
        <f ca="1">IFERROR(IF(0=LEN(ReferenceData!$AA$88),"",ReferenceData!$AA$88),"")</f>
        <v/>
      </c>
      <c r="AB88" t="str">
        <f ca="1">IFERROR(IF(0=LEN(ReferenceData!$AB$88),"",ReferenceData!$AB$88),"")</f>
        <v/>
      </c>
      <c r="AC88" t="str">
        <f ca="1">IFERROR(IF(0=LEN(ReferenceData!$AC$88),"",ReferenceData!$AC$88),"")</f>
        <v/>
      </c>
      <c r="AD88" t="str">
        <f ca="1">IFERROR(IF(0=LEN(ReferenceData!$AD$88),"",ReferenceData!$AD$88),"")</f>
        <v/>
      </c>
      <c r="AE88" t="str">
        <f ca="1">IFERROR(IF(0=LEN(ReferenceData!$AE$88),"",ReferenceData!$AE$88),"")</f>
        <v/>
      </c>
      <c r="AF88" t="str">
        <f ca="1">IFERROR(IF(0=LEN(ReferenceData!$AF$88),"",ReferenceData!$AF$88),"")</f>
        <v/>
      </c>
      <c r="AG88" t="str">
        <f ca="1">IFERROR(IF(0=LEN(ReferenceData!$AG$88),"",ReferenceData!$AG$88),"")</f>
        <v/>
      </c>
      <c r="AH88" t="str">
        <f ca="1">IFERROR(IF(0=LEN(ReferenceData!$AH$88),"",ReferenceData!$AH$88),"")</f>
        <v/>
      </c>
      <c r="AI88" t="str">
        <f ca="1">IFERROR(IF(0=LEN(ReferenceData!$AI$88),"",ReferenceData!$AI$88),"")</f>
        <v/>
      </c>
      <c r="AJ88" t="str">
        <f ca="1">IFERROR(IF(0=LEN(ReferenceData!$AJ$88),"",ReferenceData!$AJ$88),"")</f>
        <v/>
      </c>
      <c r="AK88" t="str">
        <f ca="1">IFERROR(IF(0=LEN(ReferenceData!$AK$88),"",ReferenceData!$AK$88),"")</f>
        <v/>
      </c>
      <c r="AL88" t="str">
        <f ca="1">IFERROR(IF(0=LEN(ReferenceData!$AL$88),"",ReferenceData!$AL$88),"")</f>
        <v/>
      </c>
      <c r="AM88" t="str">
        <f ca="1">IFERROR(IF(0=LEN(ReferenceData!$AM$88),"",ReferenceData!$AM$88),"")</f>
        <v/>
      </c>
      <c r="AN88" t="str">
        <f ca="1">IFERROR(IF(0=LEN(ReferenceData!$AN$88),"",ReferenceData!$AN$88),"")</f>
        <v/>
      </c>
      <c r="AO88" t="str">
        <f ca="1">IFERROR(IF(0=LEN(ReferenceData!$AO$88),"",ReferenceData!$AO$88),"")</f>
        <v/>
      </c>
      <c r="AP88" t="str">
        <f ca="1">IFERROR(IF(0=LEN(ReferenceData!$AP$88),"",ReferenceData!$AP$88),"")</f>
        <v/>
      </c>
      <c r="AQ88" t="str">
        <f ca="1">IFERROR(IF(0=LEN(ReferenceData!$AQ$88),"",ReferenceData!$AQ$88),"")</f>
        <v/>
      </c>
      <c r="AR88" t="str">
        <f ca="1">IFERROR(IF(0=LEN(ReferenceData!$AR$88),"",ReferenceData!$AR$88),"")</f>
        <v/>
      </c>
      <c r="AS88" t="str">
        <f ca="1">IFERROR(IF(0=LEN(ReferenceData!$AS$88),"",ReferenceData!$AS$88),"")</f>
        <v/>
      </c>
      <c r="AT88" t="str">
        <f ca="1">IFERROR(IF(0=LEN(ReferenceData!$AT$88),"",ReferenceData!$AT$88),"")</f>
        <v/>
      </c>
      <c r="AU88" t="str">
        <f ca="1">IFERROR(IF(0=LEN(ReferenceData!$AU$88),"",ReferenceData!$AU$88),"")</f>
        <v/>
      </c>
      <c r="AV88" t="str">
        <f ca="1">IFERROR(IF(0=LEN(ReferenceData!$AV$88),"",ReferenceData!$AV$88),"")</f>
        <v/>
      </c>
      <c r="AW88" t="str">
        <f ca="1">IFERROR(IF(0=LEN(ReferenceData!$AW$88),"",ReferenceData!$AW$88),"")</f>
        <v/>
      </c>
      <c r="AX88" t="str">
        <f ca="1">IFERROR(IF(0=LEN(ReferenceData!$AX$88),"",ReferenceData!$AX$88),"")</f>
        <v/>
      </c>
      <c r="AY88" t="str">
        <f ca="1">IFERROR(IF(0=LEN(ReferenceData!$AY$88),"",ReferenceData!$AY$88),"")</f>
        <v/>
      </c>
      <c r="AZ88" t="str">
        <f ca="1">IFERROR(IF(0=LEN(ReferenceData!$AZ$88),"",ReferenceData!$AZ$88),"")</f>
        <v/>
      </c>
      <c r="BA88" t="str">
        <f ca="1">IFERROR(IF(0=LEN(ReferenceData!$BA$88),"",ReferenceData!$BA$88),"")</f>
        <v/>
      </c>
      <c r="BB88" t="str">
        <f ca="1">IFERROR(IF(0=LEN(ReferenceData!$BB$88),"",ReferenceData!$BB$88),"")</f>
        <v/>
      </c>
      <c r="BC88" t="str">
        <f ca="1">IFERROR(IF(0=LEN(ReferenceData!$BC$88),"",ReferenceData!$BC$88),"")</f>
        <v/>
      </c>
      <c r="BD88" t="str">
        <f ca="1">IFERROR(IF(0=LEN(ReferenceData!$BD$88),"",ReferenceData!$BD$88),"")</f>
        <v/>
      </c>
      <c r="BE88" t="str">
        <f ca="1">IFERROR(IF(0=LEN(ReferenceData!$BE$88),"",ReferenceData!$BE$88),"")</f>
        <v/>
      </c>
      <c r="BF88" t="str">
        <f ca="1">IFERROR(IF(0=LEN(ReferenceData!$BF$88),"",ReferenceData!$BF$88),"")</f>
        <v/>
      </c>
      <c r="BG88" t="str">
        <f ca="1">IFERROR(IF(0=LEN(ReferenceData!$BG$88),"",ReferenceData!$BG$88),"")</f>
        <v/>
      </c>
      <c r="BH88" t="str">
        <f ca="1">IFERROR(IF(0=LEN(ReferenceData!$BH$88),"",ReferenceData!$BH$88),"")</f>
        <v/>
      </c>
      <c r="BI88" t="str">
        <f ca="1">IFERROR(IF(0=LEN(ReferenceData!$BI$88),"",ReferenceData!$BI$88),"")</f>
        <v/>
      </c>
      <c r="BJ88" t="str">
        <f ca="1">IFERROR(IF(0=LEN(ReferenceData!$BJ$88),"",ReferenceData!$BJ$88),"")</f>
        <v/>
      </c>
      <c r="BK88" t="str">
        <f ca="1">IFERROR(IF(0=LEN(ReferenceData!$BK$88),"",ReferenceData!$BK$88),"")</f>
        <v/>
      </c>
      <c r="BL88" t="str">
        <f ca="1">IFERROR(IF(0=LEN(ReferenceData!$BL$88),"",ReferenceData!$BL$88),"")</f>
        <v/>
      </c>
      <c r="BM88" t="str">
        <f ca="1">IFERROR(IF(0=LEN(ReferenceData!$BM$88),"",ReferenceData!$BM$88),"")</f>
        <v/>
      </c>
    </row>
    <row r="89" spans="1:65">
      <c r="A89" t="str">
        <f>IFERROR(IF(0=LEN(ReferenceData!$A$89),"",ReferenceData!$A$89),"")</f>
        <v xml:space="preserve">    Fifth Third Bancorp</v>
      </c>
      <c r="B89" t="str">
        <f>IFERROR(IF(0=LEN(ReferenceData!$B$89),"",ReferenceData!$B$89),"")</f>
        <v>FITB US Equity</v>
      </c>
      <c r="C89" t="str">
        <f>IFERROR(IF(0=LEN(ReferenceData!$C$89),"",ReferenceData!$C$89),"")</f>
        <v>BS961</v>
      </c>
      <c r="D89" t="str">
        <f>IFERROR(IF(0=LEN(ReferenceData!$D$89),"",ReferenceData!$D$89),"")</f>
        <v>BS_RES_MTG_OWNED_SERVICED_PORT</v>
      </c>
      <c r="E89" t="str">
        <f>IFERROR(IF(0=LEN(ReferenceData!$E$89),"",ReferenceData!$E$89),"")</f>
        <v>Dynamic</v>
      </c>
      <c r="F89">
        <f ca="1">IFERROR(IF(0=LEN(ReferenceData!$F$89),"",ReferenceData!$F$89),"")</f>
        <v>110900</v>
      </c>
      <c r="G89">
        <f ca="1">IFERROR(IF(0=LEN(ReferenceData!$G$89),"",ReferenceData!$G$89),"")</f>
        <v>112400</v>
      </c>
      <c r="H89">
        <f ca="1">IFERROR(IF(0=LEN(ReferenceData!$H$89),"",ReferenceData!$H$89),"")</f>
        <v>113700</v>
      </c>
      <c r="I89">
        <f ca="1">IFERROR(IF(0=LEN(ReferenceData!$I$89),"",ReferenceData!$I$89),"")</f>
        <v>115700</v>
      </c>
      <c r="J89">
        <f ca="1">IFERROR(IF(0=LEN(ReferenceData!$J$89),"",ReferenceData!$J$89),"")</f>
        <v>117000</v>
      </c>
      <c r="K89">
        <f ca="1">IFERROR(IF(0=LEN(ReferenceData!$K$89),"",ReferenceData!$K$89),"")</f>
        <v>118500</v>
      </c>
      <c r="L89">
        <f ca="1">IFERROR(IF(0=LEN(ReferenceData!$L$89),"",ReferenceData!$L$89),"")</f>
        <v>119700</v>
      </c>
      <c r="M89">
        <f ca="1">IFERROR(IF(0=LEN(ReferenceData!$M$89),"",ReferenceData!$M$89),"")</f>
        <v>120400</v>
      </c>
      <c r="N89">
        <f ca="1">IFERROR(IF(0=LEN(ReferenceData!$N$89),"",ReferenceData!$N$89),"")</f>
        <v>120200</v>
      </c>
      <c r="O89">
        <f ca="1">IFERROR(IF(0=LEN(ReferenceData!$O$89),"",ReferenceData!$O$89),"")</f>
        <v>120300</v>
      </c>
      <c r="P89">
        <f ca="1">IFERROR(IF(0=LEN(ReferenceData!$P$89),"",ReferenceData!$P$89),"")</f>
        <v>118200</v>
      </c>
      <c r="Q89">
        <f ca="1">IFERROR(IF(0=LEN(ReferenceData!$Q$89),"",ReferenceData!$Q$89),"")</f>
        <v>114500</v>
      </c>
      <c r="R89">
        <f ca="1">IFERROR(IF(0=LEN(ReferenceData!$R$89),"",ReferenceData!$R$89),"")</f>
        <v>106800</v>
      </c>
      <c r="S89">
        <f ca="1">IFERROR(IF(0=LEN(ReferenceData!$S$89),"",ReferenceData!$S$89),"")</f>
        <v>14800</v>
      </c>
      <c r="T89">
        <f ca="1">IFERROR(IF(0=LEN(ReferenceData!$T$89),"",ReferenceData!$T$89),"")</f>
        <v>21.5</v>
      </c>
      <c r="U89">
        <f ca="1">IFERROR(IF(0=LEN(ReferenceData!$U$89),"",ReferenceData!$U$89),"")</f>
        <v>86700</v>
      </c>
      <c r="V89">
        <f ca="1">IFERROR(IF(0=LEN(ReferenceData!$V$89),"",ReferenceData!$V$89),"")</f>
        <v>86600</v>
      </c>
      <c r="W89">
        <f ca="1">IFERROR(IF(0=LEN(ReferenceData!$W$89),"",ReferenceData!$W$89),"")</f>
        <v>17900</v>
      </c>
      <c r="X89">
        <f ca="1">IFERROR(IF(0=LEN(ReferenceData!$X$89),"",ReferenceData!$X$89),"")</f>
        <v>16600</v>
      </c>
      <c r="Y89">
        <f ca="1">IFERROR(IF(0=LEN(ReferenceData!$Y$89),"",ReferenceData!$Y$89),"")</f>
        <v>0</v>
      </c>
      <c r="Z89">
        <f ca="1">IFERROR(IF(0=LEN(ReferenceData!$Z$89),"",ReferenceData!$Z$89),"")</f>
        <v>17666</v>
      </c>
      <c r="AA89">
        <f ca="1">IFERROR(IF(0=LEN(ReferenceData!$AA$89),"",ReferenceData!$AA$89),"")</f>
        <v>99438</v>
      </c>
      <c r="AB89">
        <f ca="1">IFERROR(IF(0=LEN(ReferenceData!$AB$89),"",ReferenceData!$AB$89),"")</f>
        <v>187000</v>
      </c>
      <c r="AC89">
        <f ca="1">IFERROR(IF(0=LEN(ReferenceData!$AC$89),"",ReferenceData!$AC$89),"")</f>
        <v>0</v>
      </c>
      <c r="AD89">
        <f ca="1">IFERROR(IF(0=LEN(ReferenceData!$AD$89),"",ReferenceData!$AD$89),"")</f>
        <v>16046</v>
      </c>
      <c r="AE89">
        <f ca="1">IFERROR(IF(0=LEN(ReferenceData!$AE$89),"",ReferenceData!$AE$89),"")</f>
        <v>16100</v>
      </c>
      <c r="AF89">
        <f ca="1">IFERROR(IF(0=LEN(ReferenceData!$AF$89),"",ReferenceData!$AF$89),"")</f>
        <v>16300</v>
      </c>
      <c r="AG89">
        <f ca="1">IFERROR(IF(0=LEN(ReferenceData!$AG$89),"",ReferenceData!$AG$89),"")</f>
        <v>0</v>
      </c>
      <c r="AH89">
        <f ca="1">IFERROR(IF(0=LEN(ReferenceData!$AH$89),"",ReferenceData!$AH$89),"")</f>
        <v>16079</v>
      </c>
      <c r="AI89">
        <f ca="1">IFERROR(IF(0=LEN(ReferenceData!$AI$89),"",ReferenceData!$AI$89),"")</f>
        <v>16300</v>
      </c>
      <c r="AJ89">
        <f ca="1">IFERROR(IF(0=LEN(ReferenceData!$AJ$89),"",ReferenceData!$AJ$89),"")</f>
        <v>16200</v>
      </c>
      <c r="AK89">
        <f ca="1">IFERROR(IF(0=LEN(ReferenceData!$AK$89),"",ReferenceData!$AK$89),"")</f>
        <v>0</v>
      </c>
      <c r="AL89">
        <f ca="1">IFERROR(IF(0=LEN(ReferenceData!$AL$89),"",ReferenceData!$AL$89),"")</f>
        <v>15746</v>
      </c>
      <c r="AM89">
        <f ca="1">IFERROR(IF(0=LEN(ReferenceData!$AM$89),"",ReferenceData!$AM$89),"")</f>
        <v>15600</v>
      </c>
      <c r="AN89">
        <f ca="1">IFERROR(IF(0=LEN(ReferenceData!$AN$89),"",ReferenceData!$AN$89),"")</f>
        <v>15100</v>
      </c>
      <c r="AO89">
        <f ca="1">IFERROR(IF(0=LEN(ReferenceData!$AO$89),"",ReferenceData!$AO$89),"")</f>
        <v>14500</v>
      </c>
      <c r="AP89">
        <f ca="1">IFERROR(IF(0=LEN(ReferenceData!$AP$89),"",ReferenceData!$AP$89),"")</f>
        <v>14400</v>
      </c>
      <c r="AQ89">
        <f ca="1">IFERROR(IF(0=LEN(ReferenceData!$AQ$89),"",ReferenceData!$AQ$89),"")</f>
        <v>14200</v>
      </c>
      <c r="AR89">
        <f ca="1">IFERROR(IF(0=LEN(ReferenceData!$AR$89),"",ReferenceData!$AR$89),"")</f>
        <v>13700</v>
      </c>
      <c r="AS89">
        <f ca="1">IFERROR(IF(0=LEN(ReferenceData!$AS$89),"",ReferenceData!$AS$89),"")</f>
        <v>13.2</v>
      </c>
      <c r="AT89">
        <f ca="1">IFERROR(IF(0=LEN(ReferenceData!$AT$89),"",ReferenceData!$AT$89),"")</f>
        <v>79000</v>
      </c>
      <c r="AU89" t="str">
        <f ca="1">IFERROR(IF(0=LEN(ReferenceData!$AU$89),"",ReferenceData!$AU$89),"")</f>
        <v/>
      </c>
      <c r="AV89">
        <f ca="1">IFERROR(IF(0=LEN(ReferenceData!$AV$89),"",ReferenceData!$AV$89),"")</f>
        <v>13200</v>
      </c>
      <c r="AW89">
        <f ca="1">IFERROR(IF(0=LEN(ReferenceData!$AW$89),"",ReferenceData!$AW$89),"")</f>
        <v>13300</v>
      </c>
      <c r="AX89">
        <f ca="1">IFERROR(IF(0=LEN(ReferenceData!$AX$89),"",ReferenceData!$AX$89),"")</f>
        <v>13500</v>
      </c>
      <c r="AY89">
        <f ca="1">IFERROR(IF(0=LEN(ReferenceData!$AY$89),"",ReferenceData!$AY$89),"")</f>
        <v>11600</v>
      </c>
      <c r="AZ89">
        <f ca="1">IFERROR(IF(0=LEN(ReferenceData!$AZ$89),"",ReferenceData!$AZ$89),"")</f>
        <v>11600</v>
      </c>
      <c r="BA89">
        <f ca="1">IFERROR(IF(0=LEN(ReferenceData!$BA$89),"",ReferenceData!$BA$89),"")</f>
        <v>14700</v>
      </c>
      <c r="BB89">
        <f ca="1">IFERROR(IF(0=LEN(ReferenceData!$BB$89),"",ReferenceData!$BB$89),"")</f>
        <v>14800</v>
      </c>
      <c r="BC89">
        <f ca="1">IFERROR(IF(0=LEN(ReferenceData!$BC$89),"",ReferenceData!$BC$89),"")</f>
        <v>11700</v>
      </c>
      <c r="BD89">
        <f ca="1">IFERROR(IF(0=LEN(ReferenceData!$BD$89),"",ReferenceData!$BD$89),"")</f>
        <v>11700</v>
      </c>
      <c r="BE89">
        <f ca="1">IFERROR(IF(0=LEN(ReferenceData!$BE$89),"",ReferenceData!$BE$89),"")</f>
        <v>12500</v>
      </c>
      <c r="BF89">
        <f ca="1">IFERROR(IF(0=LEN(ReferenceData!$BF$89),"",ReferenceData!$BF$89),"")</f>
        <v>13500</v>
      </c>
      <c r="BG89">
        <f ca="1">IFERROR(IF(0=LEN(ReferenceData!$BG$89),"",ReferenceData!$BG$89),"")</f>
        <v>11900</v>
      </c>
      <c r="BH89">
        <f ca="1">IFERROR(IF(0=LEN(ReferenceData!$BH$89),"",ReferenceData!$BH$89),"")</f>
        <v>10800</v>
      </c>
      <c r="BI89">
        <f ca="1">IFERROR(IF(0=LEN(ReferenceData!$BI$89),"",ReferenceData!$BI$89),"")</f>
        <v>10600</v>
      </c>
      <c r="BJ89">
        <f ca="1">IFERROR(IF(0=LEN(ReferenceData!$BJ$89),"",ReferenceData!$BJ$89),"")</f>
        <v>9000</v>
      </c>
      <c r="BK89">
        <f ca="1">IFERROR(IF(0=LEN(ReferenceData!$BK$89),"",ReferenceData!$BK$89),"")</f>
        <v>10000</v>
      </c>
      <c r="BL89">
        <f ca="1">IFERROR(IF(0=LEN(ReferenceData!$BL$89),"",ReferenceData!$BL$89),"")</f>
        <v>9700</v>
      </c>
      <c r="BM89" t="str">
        <f ca="1">IFERROR(IF(0=LEN(ReferenceData!$BM$89),"",ReferenceData!$BM$89),"")</f>
        <v/>
      </c>
    </row>
    <row r="90" spans="1:65">
      <c r="A90" t="str">
        <f>IFERROR(IF(0=LEN(ReferenceData!$A$90),"",ReferenceData!$A$90),"")</f>
        <v xml:space="preserve">    First Citizens BancShares Inc/</v>
      </c>
      <c r="B90" t="str">
        <f>IFERROR(IF(0=LEN(ReferenceData!$B$90),"",ReferenceData!$B$90),"")</f>
        <v>FCNCA US Equity</v>
      </c>
      <c r="C90" t="str">
        <f>IFERROR(IF(0=LEN(ReferenceData!$C$90),"",ReferenceData!$C$90),"")</f>
        <v>BS961</v>
      </c>
      <c r="D90" t="str">
        <f>IFERROR(IF(0=LEN(ReferenceData!$D$90),"",ReferenceData!$D$90),"")</f>
        <v>BS_RES_MTG_OWNED_SERVICED_PORT</v>
      </c>
      <c r="E90" t="str">
        <f>IFERROR(IF(0=LEN(ReferenceData!$E$90),"",ReferenceData!$E$90),"")</f>
        <v>Dynamic</v>
      </c>
      <c r="F90" t="str">
        <f ca="1">IFERROR(IF(0=LEN(ReferenceData!$F$90),"",ReferenceData!$F$90),"")</f>
        <v/>
      </c>
      <c r="G90" t="str">
        <f ca="1">IFERROR(IF(0=LEN(ReferenceData!$G$90),"",ReferenceData!$G$90),"")</f>
        <v/>
      </c>
      <c r="H90" t="str">
        <f ca="1">IFERROR(IF(0=LEN(ReferenceData!$H$90),"",ReferenceData!$H$90),"")</f>
        <v/>
      </c>
      <c r="I90" t="str">
        <f ca="1">IFERROR(IF(0=LEN(ReferenceData!$I$90),"",ReferenceData!$I$90),"")</f>
        <v/>
      </c>
      <c r="J90" t="str">
        <f ca="1">IFERROR(IF(0=LEN(ReferenceData!$J$90),"",ReferenceData!$J$90),"")</f>
        <v/>
      </c>
      <c r="K90" t="str">
        <f ca="1">IFERROR(IF(0=LEN(ReferenceData!$K$90),"",ReferenceData!$K$90),"")</f>
        <v/>
      </c>
      <c r="L90" t="str">
        <f ca="1">IFERROR(IF(0=LEN(ReferenceData!$L$90),"",ReferenceData!$L$90),"")</f>
        <v/>
      </c>
      <c r="M90" t="str">
        <f ca="1">IFERROR(IF(0=LEN(ReferenceData!$M$90),"",ReferenceData!$M$90),"")</f>
        <v/>
      </c>
      <c r="N90" t="str">
        <f ca="1">IFERROR(IF(0=LEN(ReferenceData!$N$90),"",ReferenceData!$N$90),"")</f>
        <v/>
      </c>
      <c r="O90" t="str">
        <f ca="1">IFERROR(IF(0=LEN(ReferenceData!$O$90),"",ReferenceData!$O$90),"")</f>
        <v/>
      </c>
      <c r="P90" t="str">
        <f ca="1">IFERROR(IF(0=LEN(ReferenceData!$P$90),"",ReferenceData!$P$90),"")</f>
        <v/>
      </c>
      <c r="Q90" t="str">
        <f ca="1">IFERROR(IF(0=LEN(ReferenceData!$Q$90),"",ReferenceData!$Q$90),"")</f>
        <v/>
      </c>
      <c r="R90" t="str">
        <f ca="1">IFERROR(IF(0=LEN(ReferenceData!$R$90),"",ReferenceData!$R$90),"")</f>
        <v/>
      </c>
      <c r="S90" t="str">
        <f ca="1">IFERROR(IF(0=LEN(ReferenceData!$S$90),"",ReferenceData!$S$90),"")</f>
        <v/>
      </c>
      <c r="T90" t="str">
        <f ca="1">IFERROR(IF(0=LEN(ReferenceData!$T$90),"",ReferenceData!$T$90),"")</f>
        <v/>
      </c>
      <c r="U90" t="str">
        <f ca="1">IFERROR(IF(0=LEN(ReferenceData!$U$90),"",ReferenceData!$U$90),"")</f>
        <v/>
      </c>
      <c r="V90" t="str">
        <f ca="1">IFERROR(IF(0=LEN(ReferenceData!$V$90),"",ReferenceData!$V$90),"")</f>
        <v/>
      </c>
      <c r="W90" t="str">
        <f ca="1">IFERROR(IF(0=LEN(ReferenceData!$W$90),"",ReferenceData!$W$90),"")</f>
        <v/>
      </c>
      <c r="X90" t="str">
        <f ca="1">IFERROR(IF(0=LEN(ReferenceData!$X$90),"",ReferenceData!$X$90),"")</f>
        <v/>
      </c>
      <c r="Y90" t="str">
        <f ca="1">IFERROR(IF(0=LEN(ReferenceData!$Y$90),"",ReferenceData!$Y$90),"")</f>
        <v/>
      </c>
      <c r="Z90" t="str">
        <f ca="1">IFERROR(IF(0=LEN(ReferenceData!$Z$90),"",ReferenceData!$Z$90),"")</f>
        <v/>
      </c>
      <c r="AA90" t="str">
        <f ca="1">IFERROR(IF(0=LEN(ReferenceData!$AA$90),"",ReferenceData!$AA$90),"")</f>
        <v/>
      </c>
      <c r="AB90" t="str">
        <f ca="1">IFERROR(IF(0=LEN(ReferenceData!$AB$90),"",ReferenceData!$AB$90),"")</f>
        <v/>
      </c>
      <c r="AC90" t="str">
        <f ca="1">IFERROR(IF(0=LEN(ReferenceData!$AC$90),"",ReferenceData!$AC$90),"")</f>
        <v/>
      </c>
      <c r="AD90" t="str">
        <f ca="1">IFERROR(IF(0=LEN(ReferenceData!$AD$90),"",ReferenceData!$AD$90),"")</f>
        <v/>
      </c>
      <c r="AE90" t="str">
        <f ca="1">IFERROR(IF(0=LEN(ReferenceData!$AE$90),"",ReferenceData!$AE$90),"")</f>
        <v/>
      </c>
      <c r="AF90" t="str">
        <f ca="1">IFERROR(IF(0=LEN(ReferenceData!$AF$90),"",ReferenceData!$AF$90),"")</f>
        <v/>
      </c>
      <c r="AG90" t="str">
        <f ca="1">IFERROR(IF(0=LEN(ReferenceData!$AG$90),"",ReferenceData!$AG$90),"")</f>
        <v/>
      </c>
      <c r="AH90" t="str">
        <f ca="1">IFERROR(IF(0=LEN(ReferenceData!$AH$90),"",ReferenceData!$AH$90),"")</f>
        <v/>
      </c>
      <c r="AI90" t="str">
        <f ca="1">IFERROR(IF(0=LEN(ReferenceData!$AI$90),"",ReferenceData!$AI$90),"")</f>
        <v/>
      </c>
      <c r="AJ90" t="str">
        <f ca="1">IFERROR(IF(0=LEN(ReferenceData!$AJ$90),"",ReferenceData!$AJ$90),"")</f>
        <v/>
      </c>
      <c r="AK90" t="str">
        <f ca="1">IFERROR(IF(0=LEN(ReferenceData!$AK$90),"",ReferenceData!$AK$90),"")</f>
        <v/>
      </c>
      <c r="AL90" t="str">
        <f ca="1">IFERROR(IF(0=LEN(ReferenceData!$AL$90),"",ReferenceData!$AL$90),"")</f>
        <v/>
      </c>
      <c r="AM90" t="str">
        <f ca="1">IFERROR(IF(0=LEN(ReferenceData!$AM$90),"",ReferenceData!$AM$90),"")</f>
        <v/>
      </c>
      <c r="AN90" t="str">
        <f ca="1">IFERROR(IF(0=LEN(ReferenceData!$AN$90),"",ReferenceData!$AN$90),"")</f>
        <v/>
      </c>
      <c r="AO90" t="str">
        <f ca="1">IFERROR(IF(0=LEN(ReferenceData!$AO$90),"",ReferenceData!$AO$90),"")</f>
        <v/>
      </c>
      <c r="AP90" t="str">
        <f ca="1">IFERROR(IF(0=LEN(ReferenceData!$AP$90),"",ReferenceData!$AP$90),"")</f>
        <v/>
      </c>
      <c r="AQ90" t="str">
        <f ca="1">IFERROR(IF(0=LEN(ReferenceData!$AQ$90),"",ReferenceData!$AQ$90),"")</f>
        <v/>
      </c>
      <c r="AR90" t="str">
        <f ca="1">IFERROR(IF(0=LEN(ReferenceData!$AR$90),"",ReferenceData!$AR$90),"")</f>
        <v/>
      </c>
      <c r="AS90" t="str">
        <f ca="1">IFERROR(IF(0=LEN(ReferenceData!$AS$90),"",ReferenceData!$AS$90),"")</f>
        <v/>
      </c>
      <c r="AT90" t="str">
        <f ca="1">IFERROR(IF(0=LEN(ReferenceData!$AT$90),"",ReferenceData!$AT$90),"")</f>
        <v/>
      </c>
      <c r="AU90" t="str">
        <f ca="1">IFERROR(IF(0=LEN(ReferenceData!$AU$90),"",ReferenceData!$AU$90),"")</f>
        <v/>
      </c>
      <c r="AV90" t="str">
        <f ca="1">IFERROR(IF(0=LEN(ReferenceData!$AV$90),"",ReferenceData!$AV$90),"")</f>
        <v/>
      </c>
      <c r="AW90" t="str">
        <f ca="1">IFERROR(IF(0=LEN(ReferenceData!$AW$90),"",ReferenceData!$AW$90),"")</f>
        <v/>
      </c>
      <c r="AX90" t="str">
        <f ca="1">IFERROR(IF(0=LEN(ReferenceData!$AX$90),"",ReferenceData!$AX$90),"")</f>
        <v/>
      </c>
      <c r="AY90" t="str">
        <f ca="1">IFERROR(IF(0=LEN(ReferenceData!$AY$90),"",ReferenceData!$AY$90),"")</f>
        <v/>
      </c>
      <c r="AZ90" t="str">
        <f ca="1">IFERROR(IF(0=LEN(ReferenceData!$AZ$90),"",ReferenceData!$AZ$90),"")</f>
        <v/>
      </c>
      <c r="BA90" t="str">
        <f ca="1">IFERROR(IF(0=LEN(ReferenceData!$BA$90),"",ReferenceData!$BA$90),"")</f>
        <v/>
      </c>
      <c r="BB90" t="str">
        <f ca="1">IFERROR(IF(0=LEN(ReferenceData!$BB$90),"",ReferenceData!$BB$90),"")</f>
        <v/>
      </c>
      <c r="BC90" t="str">
        <f ca="1">IFERROR(IF(0=LEN(ReferenceData!$BC$90),"",ReferenceData!$BC$90),"")</f>
        <v/>
      </c>
      <c r="BD90" t="str">
        <f ca="1">IFERROR(IF(0=LEN(ReferenceData!$BD$90),"",ReferenceData!$BD$90),"")</f>
        <v/>
      </c>
      <c r="BE90" t="str">
        <f ca="1">IFERROR(IF(0=LEN(ReferenceData!$BE$90),"",ReferenceData!$BE$90),"")</f>
        <v/>
      </c>
      <c r="BF90" t="str">
        <f ca="1">IFERROR(IF(0=LEN(ReferenceData!$BF$90),"",ReferenceData!$BF$90),"")</f>
        <v/>
      </c>
      <c r="BG90" t="str">
        <f ca="1">IFERROR(IF(0=LEN(ReferenceData!$BG$90),"",ReferenceData!$BG$90),"")</f>
        <v/>
      </c>
      <c r="BH90" t="str">
        <f ca="1">IFERROR(IF(0=LEN(ReferenceData!$BH$90),"",ReferenceData!$BH$90),"")</f>
        <v/>
      </c>
      <c r="BI90" t="str">
        <f ca="1">IFERROR(IF(0=LEN(ReferenceData!$BI$90),"",ReferenceData!$BI$90),"")</f>
        <v/>
      </c>
      <c r="BJ90" t="str">
        <f ca="1">IFERROR(IF(0=LEN(ReferenceData!$BJ$90),"",ReferenceData!$BJ$90),"")</f>
        <v/>
      </c>
      <c r="BK90" t="str">
        <f ca="1">IFERROR(IF(0=LEN(ReferenceData!$BK$90),"",ReferenceData!$BK$90),"")</f>
        <v/>
      </c>
      <c r="BL90" t="str">
        <f ca="1">IFERROR(IF(0=LEN(ReferenceData!$BL$90),"",ReferenceData!$BL$90),"")</f>
        <v/>
      </c>
      <c r="BM90" t="str">
        <f ca="1">IFERROR(IF(0=LEN(ReferenceData!$BM$90),"",ReferenceData!$BM$90),"")</f>
        <v/>
      </c>
    </row>
    <row r="91" spans="1:65">
      <c r="A91" t="str">
        <f>IFERROR(IF(0=LEN(ReferenceData!$A$91),"",ReferenceData!$A$91),"")</f>
        <v xml:space="preserve">    Flagstar Financial Inc</v>
      </c>
      <c r="B91" t="str">
        <f>IFERROR(IF(0=LEN(ReferenceData!$B$91),"",ReferenceData!$B$91),"")</f>
        <v>FLG US Equity</v>
      </c>
      <c r="C91" t="str">
        <f>IFERROR(IF(0=LEN(ReferenceData!$C$91),"",ReferenceData!$C$91),"")</f>
        <v>BS961</v>
      </c>
      <c r="D91" t="str">
        <f>IFERROR(IF(0=LEN(ReferenceData!$D$91),"",ReferenceData!$D$91),"")</f>
        <v>BS_RES_MTG_OWNED_SERVICED_PORT</v>
      </c>
      <c r="E91" t="str">
        <f>IFERROR(IF(0=LEN(ReferenceData!$E$91),"",ReferenceData!$E$91),"")</f>
        <v>Dynamic</v>
      </c>
      <c r="F91" t="str">
        <f ca="1">IFERROR(IF(0=LEN(ReferenceData!$F$91),"",ReferenceData!$F$91),"")</f>
        <v/>
      </c>
      <c r="G91" t="str">
        <f ca="1">IFERROR(IF(0=LEN(ReferenceData!$G$91),"",ReferenceData!$G$91),"")</f>
        <v/>
      </c>
      <c r="H91" t="str">
        <f ca="1">IFERROR(IF(0=LEN(ReferenceData!$H$91),"",ReferenceData!$H$91),"")</f>
        <v/>
      </c>
      <c r="I91" t="str">
        <f ca="1">IFERROR(IF(0=LEN(ReferenceData!$I$91),"",ReferenceData!$I$91),"")</f>
        <v/>
      </c>
      <c r="J91" t="str">
        <f ca="1">IFERROR(IF(0=LEN(ReferenceData!$J$91),"",ReferenceData!$J$91),"")</f>
        <v/>
      </c>
      <c r="K91" t="str">
        <f ca="1">IFERROR(IF(0=LEN(ReferenceData!$K$91),"",ReferenceData!$K$91),"")</f>
        <v/>
      </c>
      <c r="L91" t="str">
        <f ca="1">IFERROR(IF(0=LEN(ReferenceData!$L$91),"",ReferenceData!$L$91),"")</f>
        <v/>
      </c>
      <c r="M91" t="str">
        <f ca="1">IFERROR(IF(0=LEN(ReferenceData!$M$91),"",ReferenceData!$M$91),"")</f>
        <v/>
      </c>
      <c r="N91" t="str">
        <f ca="1">IFERROR(IF(0=LEN(ReferenceData!$N$91),"",ReferenceData!$N$91),"")</f>
        <v/>
      </c>
      <c r="O91" t="str">
        <f ca="1">IFERROR(IF(0=LEN(ReferenceData!$O$91),"",ReferenceData!$O$91),"")</f>
        <v/>
      </c>
      <c r="P91" t="str">
        <f ca="1">IFERROR(IF(0=LEN(ReferenceData!$P$91),"",ReferenceData!$P$91),"")</f>
        <v/>
      </c>
      <c r="Q91" t="str">
        <f ca="1">IFERROR(IF(0=LEN(ReferenceData!$Q$91),"",ReferenceData!$Q$91),"")</f>
        <v/>
      </c>
      <c r="R91" t="str">
        <f ca="1">IFERROR(IF(0=LEN(ReferenceData!$R$91),"",ReferenceData!$R$91),"")</f>
        <v/>
      </c>
      <c r="S91" t="str">
        <f ca="1">IFERROR(IF(0=LEN(ReferenceData!$S$91),"",ReferenceData!$S$91),"")</f>
        <v/>
      </c>
      <c r="T91" t="str">
        <f ca="1">IFERROR(IF(0=LEN(ReferenceData!$T$91),"",ReferenceData!$T$91),"")</f>
        <v/>
      </c>
      <c r="U91" t="str">
        <f ca="1">IFERROR(IF(0=LEN(ReferenceData!$U$91),"",ReferenceData!$U$91),"")</f>
        <v/>
      </c>
      <c r="V91" t="str">
        <f ca="1">IFERROR(IF(0=LEN(ReferenceData!$V$91),"",ReferenceData!$V$91),"")</f>
        <v/>
      </c>
      <c r="W91" t="str">
        <f ca="1">IFERROR(IF(0=LEN(ReferenceData!$W$91),"",ReferenceData!$W$91),"")</f>
        <v/>
      </c>
      <c r="X91" t="str">
        <f ca="1">IFERROR(IF(0=LEN(ReferenceData!$X$91),"",ReferenceData!$X$91),"")</f>
        <v/>
      </c>
      <c r="Y91" t="str">
        <f ca="1">IFERROR(IF(0=LEN(ReferenceData!$Y$91),"",ReferenceData!$Y$91),"")</f>
        <v/>
      </c>
      <c r="Z91" t="str">
        <f ca="1">IFERROR(IF(0=LEN(ReferenceData!$Z$91),"",ReferenceData!$Z$91),"")</f>
        <v/>
      </c>
      <c r="AA91" t="str">
        <f ca="1">IFERROR(IF(0=LEN(ReferenceData!$AA$91),"",ReferenceData!$AA$91),"")</f>
        <v/>
      </c>
      <c r="AB91" t="str">
        <f ca="1">IFERROR(IF(0=LEN(ReferenceData!$AB$91),"",ReferenceData!$AB$91),"")</f>
        <v/>
      </c>
      <c r="AC91" t="str">
        <f ca="1">IFERROR(IF(0=LEN(ReferenceData!$AC$91),"",ReferenceData!$AC$91),"")</f>
        <v/>
      </c>
      <c r="AD91" t="str">
        <f ca="1">IFERROR(IF(0=LEN(ReferenceData!$AD$91),"",ReferenceData!$AD$91),"")</f>
        <v/>
      </c>
      <c r="AE91" t="str">
        <f ca="1">IFERROR(IF(0=LEN(ReferenceData!$AE$91),"",ReferenceData!$AE$91),"")</f>
        <v/>
      </c>
      <c r="AF91" t="str">
        <f ca="1">IFERROR(IF(0=LEN(ReferenceData!$AF$91),"",ReferenceData!$AF$91),"")</f>
        <v/>
      </c>
      <c r="AG91" t="str">
        <f ca="1">IFERROR(IF(0=LEN(ReferenceData!$AG$91),"",ReferenceData!$AG$91),"")</f>
        <v/>
      </c>
      <c r="AH91" t="str">
        <f ca="1">IFERROR(IF(0=LEN(ReferenceData!$AH$91),"",ReferenceData!$AH$91),"")</f>
        <v/>
      </c>
      <c r="AI91" t="str">
        <f ca="1">IFERROR(IF(0=LEN(ReferenceData!$AI$91),"",ReferenceData!$AI$91),"")</f>
        <v/>
      </c>
      <c r="AJ91" t="str">
        <f ca="1">IFERROR(IF(0=LEN(ReferenceData!$AJ$91),"",ReferenceData!$AJ$91),"")</f>
        <v/>
      </c>
      <c r="AK91" t="str">
        <f ca="1">IFERROR(IF(0=LEN(ReferenceData!$AK$91),"",ReferenceData!$AK$91),"")</f>
        <v/>
      </c>
      <c r="AL91" t="str">
        <f ca="1">IFERROR(IF(0=LEN(ReferenceData!$AL$91),"",ReferenceData!$AL$91),"")</f>
        <v/>
      </c>
      <c r="AM91" t="str">
        <f ca="1">IFERROR(IF(0=LEN(ReferenceData!$AM$91),"",ReferenceData!$AM$91),"")</f>
        <v/>
      </c>
      <c r="AN91" t="str">
        <f ca="1">IFERROR(IF(0=LEN(ReferenceData!$AN$91),"",ReferenceData!$AN$91),"")</f>
        <v/>
      </c>
      <c r="AO91" t="str">
        <f ca="1">IFERROR(IF(0=LEN(ReferenceData!$AO$91),"",ReferenceData!$AO$91),"")</f>
        <v/>
      </c>
      <c r="AP91" t="str">
        <f ca="1">IFERROR(IF(0=LEN(ReferenceData!$AP$91),"",ReferenceData!$AP$91),"")</f>
        <v/>
      </c>
      <c r="AQ91" t="str">
        <f ca="1">IFERROR(IF(0=LEN(ReferenceData!$AQ$91),"",ReferenceData!$AQ$91),"")</f>
        <v/>
      </c>
      <c r="AR91" t="str">
        <f ca="1">IFERROR(IF(0=LEN(ReferenceData!$AR$91),"",ReferenceData!$AR$91),"")</f>
        <v/>
      </c>
      <c r="AS91" t="str">
        <f ca="1">IFERROR(IF(0=LEN(ReferenceData!$AS$91),"",ReferenceData!$AS$91),"")</f>
        <v/>
      </c>
      <c r="AT91" t="str">
        <f ca="1">IFERROR(IF(0=LEN(ReferenceData!$AT$91),"",ReferenceData!$AT$91),"")</f>
        <v/>
      </c>
      <c r="AU91" t="str">
        <f ca="1">IFERROR(IF(0=LEN(ReferenceData!$AU$91),"",ReferenceData!$AU$91),"")</f>
        <v/>
      </c>
      <c r="AV91" t="str">
        <f ca="1">IFERROR(IF(0=LEN(ReferenceData!$AV$91),"",ReferenceData!$AV$91),"")</f>
        <v/>
      </c>
      <c r="AW91" t="str">
        <f ca="1">IFERROR(IF(0=LEN(ReferenceData!$AW$91),"",ReferenceData!$AW$91),"")</f>
        <v/>
      </c>
      <c r="AX91" t="str">
        <f ca="1">IFERROR(IF(0=LEN(ReferenceData!$AX$91),"",ReferenceData!$AX$91),"")</f>
        <v/>
      </c>
      <c r="AY91" t="str">
        <f ca="1">IFERROR(IF(0=LEN(ReferenceData!$AY$91),"",ReferenceData!$AY$91),"")</f>
        <v/>
      </c>
      <c r="AZ91" t="str">
        <f ca="1">IFERROR(IF(0=LEN(ReferenceData!$AZ$91),"",ReferenceData!$AZ$91),"")</f>
        <v/>
      </c>
      <c r="BA91" t="str">
        <f ca="1">IFERROR(IF(0=LEN(ReferenceData!$BA$91),"",ReferenceData!$BA$91),"")</f>
        <v/>
      </c>
      <c r="BB91" t="str">
        <f ca="1">IFERROR(IF(0=LEN(ReferenceData!$BB$91),"",ReferenceData!$BB$91),"")</f>
        <v/>
      </c>
      <c r="BC91" t="str">
        <f ca="1">IFERROR(IF(0=LEN(ReferenceData!$BC$91),"",ReferenceData!$BC$91),"")</f>
        <v/>
      </c>
      <c r="BD91" t="str">
        <f ca="1">IFERROR(IF(0=LEN(ReferenceData!$BD$91),"",ReferenceData!$BD$91),"")</f>
        <v/>
      </c>
      <c r="BE91" t="str">
        <f ca="1">IFERROR(IF(0=LEN(ReferenceData!$BE$91),"",ReferenceData!$BE$91),"")</f>
        <v/>
      </c>
      <c r="BF91" t="str">
        <f ca="1">IFERROR(IF(0=LEN(ReferenceData!$BF$91),"",ReferenceData!$BF$91),"")</f>
        <v/>
      </c>
      <c r="BG91" t="str">
        <f ca="1">IFERROR(IF(0=LEN(ReferenceData!$BG$91),"",ReferenceData!$BG$91),"")</f>
        <v/>
      </c>
      <c r="BH91" t="str">
        <f ca="1">IFERROR(IF(0=LEN(ReferenceData!$BH$91),"",ReferenceData!$BH$91),"")</f>
        <v/>
      </c>
      <c r="BI91" t="str">
        <f ca="1">IFERROR(IF(0=LEN(ReferenceData!$BI$91),"",ReferenceData!$BI$91),"")</f>
        <v/>
      </c>
      <c r="BJ91" t="str">
        <f ca="1">IFERROR(IF(0=LEN(ReferenceData!$BJ$91),"",ReferenceData!$BJ$91),"")</f>
        <v/>
      </c>
      <c r="BK91" t="str">
        <f ca="1">IFERROR(IF(0=LEN(ReferenceData!$BK$91),"",ReferenceData!$BK$91),"")</f>
        <v/>
      </c>
      <c r="BL91" t="str">
        <f ca="1">IFERROR(IF(0=LEN(ReferenceData!$BL$91),"",ReferenceData!$BL$91),"")</f>
        <v/>
      </c>
      <c r="BM91" t="str">
        <f ca="1">IFERROR(IF(0=LEN(ReferenceData!$BM$91),"",ReferenceData!$BM$91),"")</f>
        <v/>
      </c>
    </row>
    <row r="92" spans="1:65">
      <c r="A92" t="str">
        <f>IFERROR(IF(0=LEN(ReferenceData!$A$92),"",ReferenceData!$A$92),"")</f>
        <v xml:space="preserve">    Huntington Bancshares Inc/OH</v>
      </c>
      <c r="B92" t="str">
        <f>IFERROR(IF(0=LEN(ReferenceData!$B$92),"",ReferenceData!$B$92),"")</f>
        <v>HBAN US Equity</v>
      </c>
      <c r="C92" t="str">
        <f>IFERROR(IF(0=LEN(ReferenceData!$C$92),"",ReferenceData!$C$92),"")</f>
        <v>BS961</v>
      </c>
      <c r="D92" t="str">
        <f>IFERROR(IF(0=LEN(ReferenceData!$D$92),"",ReferenceData!$D$92),"")</f>
        <v>BS_RES_MTG_OWNED_SERVICED_PORT</v>
      </c>
      <c r="E92" t="str">
        <f>IFERROR(IF(0=LEN(ReferenceData!$E$92),"",ReferenceData!$E$92),"")</f>
        <v>Dynamic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 t="str">
        <f ca="1">IFERROR(IF(0=LEN(ReferenceData!$J$92),"",ReferenceData!$J$92),"")</f>
        <v/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 t="str">
        <f ca="1">IFERROR(IF(0=LEN(ReferenceData!$N$92),"",ReferenceData!$N$92),"")</f>
        <v/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 t="str">
        <f ca="1">IFERROR(IF(0=LEN(ReferenceData!$R$92),"",ReferenceData!$R$92),"")</f>
        <v/>
      </c>
      <c r="S92" t="str">
        <f ca="1">IFERROR(IF(0=LEN(ReferenceData!$S$92),"",ReferenceData!$S$92),"")</f>
        <v/>
      </c>
      <c r="T92" t="str">
        <f ca="1">IFERROR(IF(0=LEN(ReferenceData!$T$92),"",ReferenceData!$T$92),"")</f>
        <v/>
      </c>
      <c r="U92" t="str">
        <f ca="1">IFERROR(IF(0=LEN(ReferenceData!$U$92),"",ReferenceData!$U$92),"")</f>
        <v/>
      </c>
      <c r="V92" t="str">
        <f ca="1">IFERROR(IF(0=LEN(ReferenceData!$V$92),"",ReferenceData!$V$92),"")</f>
        <v/>
      </c>
      <c r="W92" t="str">
        <f ca="1">IFERROR(IF(0=LEN(ReferenceData!$W$92),"",ReferenceData!$W$92),"")</f>
        <v/>
      </c>
      <c r="X92" t="str">
        <f ca="1">IFERROR(IF(0=LEN(ReferenceData!$X$92),"",ReferenceData!$X$92),"")</f>
        <v/>
      </c>
      <c r="Y92" t="str">
        <f ca="1">IFERROR(IF(0=LEN(ReferenceData!$Y$92),"",ReferenceData!$Y$92),"")</f>
        <v/>
      </c>
      <c r="Z92" t="str">
        <f ca="1">IFERROR(IF(0=LEN(ReferenceData!$Z$92),"",ReferenceData!$Z$92),"")</f>
        <v/>
      </c>
      <c r="AA92" t="str">
        <f ca="1">IFERROR(IF(0=LEN(ReferenceData!$AA$92),"",ReferenceData!$AA$92),"")</f>
        <v/>
      </c>
      <c r="AB92" t="str">
        <f ca="1">IFERROR(IF(0=LEN(ReferenceData!$AB$92),"",ReferenceData!$AB$92),"")</f>
        <v/>
      </c>
      <c r="AC92" t="str">
        <f ca="1">IFERROR(IF(0=LEN(ReferenceData!$AC$92),"",ReferenceData!$AC$92),"")</f>
        <v/>
      </c>
      <c r="AD92" t="str">
        <f ca="1">IFERROR(IF(0=LEN(ReferenceData!$AD$92),"",ReferenceData!$AD$92),"")</f>
        <v/>
      </c>
      <c r="AE92" t="str">
        <f ca="1">IFERROR(IF(0=LEN(ReferenceData!$AE$92),"",ReferenceData!$AE$92),"")</f>
        <v/>
      </c>
      <c r="AF92" t="str">
        <f ca="1">IFERROR(IF(0=LEN(ReferenceData!$AF$92),"",ReferenceData!$AF$92),"")</f>
        <v/>
      </c>
      <c r="AG92" t="str">
        <f ca="1">IFERROR(IF(0=LEN(ReferenceData!$AG$92),"",ReferenceData!$AG$92),"")</f>
        <v/>
      </c>
      <c r="AH92" t="str">
        <f ca="1">IFERROR(IF(0=LEN(ReferenceData!$AH$92),"",ReferenceData!$AH$92),"")</f>
        <v/>
      </c>
      <c r="AI92" t="str">
        <f ca="1">IFERROR(IF(0=LEN(ReferenceData!$AI$92),"",ReferenceData!$AI$92),"")</f>
        <v/>
      </c>
      <c r="AJ92" t="str">
        <f ca="1">IFERROR(IF(0=LEN(ReferenceData!$AJ$92),"",ReferenceData!$AJ$92),"")</f>
        <v/>
      </c>
      <c r="AK92" t="str">
        <f ca="1">IFERROR(IF(0=LEN(ReferenceData!$AK$92),"",ReferenceData!$AK$92),"")</f>
        <v/>
      </c>
      <c r="AL92" t="str">
        <f ca="1">IFERROR(IF(0=LEN(ReferenceData!$AL$92),"",ReferenceData!$AL$92),"")</f>
        <v/>
      </c>
      <c r="AM92" t="str">
        <f ca="1">IFERROR(IF(0=LEN(ReferenceData!$AM$92),"",ReferenceData!$AM$92),"")</f>
        <v/>
      </c>
      <c r="AN92" t="str">
        <f ca="1">IFERROR(IF(0=LEN(ReferenceData!$AN$92),"",ReferenceData!$AN$92),"")</f>
        <v/>
      </c>
      <c r="AO92" t="str">
        <f ca="1">IFERROR(IF(0=LEN(ReferenceData!$AO$92),"",ReferenceData!$AO$92),"")</f>
        <v/>
      </c>
      <c r="AP92" t="str">
        <f ca="1">IFERROR(IF(0=LEN(ReferenceData!$AP$92),"",ReferenceData!$AP$92),"")</f>
        <v/>
      </c>
      <c r="AQ92" t="str">
        <f ca="1">IFERROR(IF(0=LEN(ReferenceData!$AQ$92),"",ReferenceData!$AQ$92),"")</f>
        <v/>
      </c>
      <c r="AR92" t="str">
        <f ca="1">IFERROR(IF(0=LEN(ReferenceData!$AR$92),"",ReferenceData!$AR$92),"")</f>
        <v/>
      </c>
      <c r="AS92" t="str">
        <f ca="1">IFERROR(IF(0=LEN(ReferenceData!$AS$92),"",ReferenceData!$AS$92),"")</f>
        <v/>
      </c>
      <c r="AT92" t="str">
        <f ca="1">IFERROR(IF(0=LEN(ReferenceData!$AT$92),"",ReferenceData!$AT$92),"")</f>
        <v/>
      </c>
      <c r="AU92" t="str">
        <f ca="1">IFERROR(IF(0=LEN(ReferenceData!$AU$92),"",ReferenceData!$AU$92),"")</f>
        <v/>
      </c>
      <c r="AV92" t="str">
        <f ca="1">IFERROR(IF(0=LEN(ReferenceData!$AV$92),"",ReferenceData!$AV$92),"")</f>
        <v/>
      </c>
      <c r="AW92" t="str">
        <f ca="1">IFERROR(IF(0=LEN(ReferenceData!$AW$92),"",ReferenceData!$AW$92),"")</f>
        <v/>
      </c>
      <c r="AX92" t="str">
        <f ca="1">IFERROR(IF(0=LEN(ReferenceData!$AX$92),"",ReferenceData!$AX$92),"")</f>
        <v/>
      </c>
      <c r="AY92" t="str">
        <f ca="1">IFERROR(IF(0=LEN(ReferenceData!$AY$92),"",ReferenceData!$AY$92),"")</f>
        <v/>
      </c>
      <c r="AZ92" t="str">
        <f ca="1">IFERROR(IF(0=LEN(ReferenceData!$AZ$92),"",ReferenceData!$AZ$92),"")</f>
        <v/>
      </c>
      <c r="BA92" t="str">
        <f ca="1">IFERROR(IF(0=LEN(ReferenceData!$BA$92),"",ReferenceData!$BA$92),"")</f>
        <v/>
      </c>
      <c r="BB92" t="str">
        <f ca="1">IFERROR(IF(0=LEN(ReferenceData!$BB$92),"",ReferenceData!$BB$92),"")</f>
        <v/>
      </c>
      <c r="BC92" t="str">
        <f ca="1">IFERROR(IF(0=LEN(ReferenceData!$BC$92),"",ReferenceData!$BC$92),"")</f>
        <v/>
      </c>
      <c r="BD92" t="str">
        <f ca="1">IFERROR(IF(0=LEN(ReferenceData!$BD$92),"",ReferenceData!$BD$92),"")</f>
        <v/>
      </c>
      <c r="BE92" t="str">
        <f ca="1">IFERROR(IF(0=LEN(ReferenceData!$BE$92),"",ReferenceData!$BE$92),"")</f>
        <v/>
      </c>
      <c r="BF92" t="str">
        <f ca="1">IFERROR(IF(0=LEN(ReferenceData!$BF$92),"",ReferenceData!$BF$92),"")</f>
        <v/>
      </c>
      <c r="BG92" t="str">
        <f ca="1">IFERROR(IF(0=LEN(ReferenceData!$BG$92),"",ReferenceData!$BG$92),"")</f>
        <v/>
      </c>
      <c r="BH92" t="str">
        <f ca="1">IFERROR(IF(0=LEN(ReferenceData!$BH$92),"",ReferenceData!$BH$92),"")</f>
        <v/>
      </c>
      <c r="BI92" t="str">
        <f ca="1">IFERROR(IF(0=LEN(ReferenceData!$BI$92),"",ReferenceData!$BI$92),"")</f>
        <v/>
      </c>
      <c r="BJ92" t="str">
        <f ca="1">IFERROR(IF(0=LEN(ReferenceData!$BJ$92),"",ReferenceData!$BJ$92),"")</f>
        <v/>
      </c>
      <c r="BK92" t="str">
        <f ca="1">IFERROR(IF(0=LEN(ReferenceData!$BK$92),"",ReferenceData!$BK$92),"")</f>
        <v/>
      </c>
      <c r="BL92" t="str">
        <f ca="1">IFERROR(IF(0=LEN(ReferenceData!$BL$92),"",ReferenceData!$BL$92),"")</f>
        <v/>
      </c>
      <c r="BM92" t="str">
        <f ca="1">IFERROR(IF(0=LEN(ReferenceData!$BM$92),"",ReferenceData!$BM$92),"")</f>
        <v/>
      </c>
    </row>
    <row r="93" spans="1:65">
      <c r="A93" t="str">
        <f>IFERROR(IF(0=LEN(ReferenceData!$A$93),"",ReferenceData!$A$93),"")</f>
        <v xml:space="preserve">    KeyCorp</v>
      </c>
      <c r="B93" t="str">
        <f>IFERROR(IF(0=LEN(ReferenceData!$B$93),"",ReferenceData!$B$93),"")</f>
        <v>KEY US Equity</v>
      </c>
      <c r="C93" t="str">
        <f>IFERROR(IF(0=LEN(ReferenceData!$C$93),"",ReferenceData!$C$93),"")</f>
        <v>BS961</v>
      </c>
      <c r="D93" t="str">
        <f>IFERROR(IF(0=LEN(ReferenceData!$D$93),"",ReferenceData!$D$93),"")</f>
        <v>BS_RES_MTG_OWNED_SERVICED_PORT</v>
      </c>
      <c r="E93" t="str">
        <f>IFERROR(IF(0=LEN(ReferenceData!$E$93),"",ReferenceData!$E$93),"")</f>
        <v>Dynamic</v>
      </c>
      <c r="F93" t="str">
        <f ca="1">IFERROR(IF(0=LEN(ReferenceData!$F$93),"",ReferenceData!$F$93),"")</f>
        <v/>
      </c>
      <c r="G93" t="str">
        <f ca="1">IFERROR(IF(0=LEN(ReferenceData!$G$93),"",ReferenceData!$G$93),"")</f>
        <v/>
      </c>
      <c r="H93" t="str">
        <f ca="1">IFERROR(IF(0=LEN(ReferenceData!$H$93),"",ReferenceData!$H$93),"")</f>
        <v/>
      </c>
      <c r="I93" t="str">
        <f ca="1">IFERROR(IF(0=LEN(ReferenceData!$I$93),"",ReferenceData!$I$93),"")</f>
        <v/>
      </c>
      <c r="J93" t="str">
        <f ca="1">IFERROR(IF(0=LEN(ReferenceData!$J$93),"",ReferenceData!$J$93),"")</f>
        <v/>
      </c>
      <c r="K93" t="str">
        <f ca="1">IFERROR(IF(0=LEN(ReferenceData!$K$93),"",ReferenceData!$K$93),"")</f>
        <v/>
      </c>
      <c r="L93" t="str">
        <f ca="1">IFERROR(IF(0=LEN(ReferenceData!$L$93),"",ReferenceData!$L$93),"")</f>
        <v/>
      </c>
      <c r="M93" t="str">
        <f ca="1">IFERROR(IF(0=LEN(ReferenceData!$M$93),"",ReferenceData!$M$93),"")</f>
        <v/>
      </c>
      <c r="N93" t="str">
        <f ca="1">IFERROR(IF(0=LEN(ReferenceData!$N$93),"",ReferenceData!$N$93),"")</f>
        <v/>
      </c>
      <c r="O93" t="str">
        <f ca="1">IFERROR(IF(0=LEN(ReferenceData!$O$93),"",ReferenceData!$O$93),"")</f>
        <v/>
      </c>
      <c r="P93" t="str">
        <f ca="1">IFERROR(IF(0=LEN(ReferenceData!$P$93),"",ReferenceData!$P$93),"")</f>
        <v/>
      </c>
      <c r="Q93" t="str">
        <f ca="1">IFERROR(IF(0=LEN(ReferenceData!$Q$93),"",ReferenceData!$Q$93),"")</f>
        <v/>
      </c>
      <c r="R93" t="str">
        <f ca="1">IFERROR(IF(0=LEN(ReferenceData!$R$93),"",ReferenceData!$R$93),"")</f>
        <v/>
      </c>
      <c r="S93" t="str">
        <f ca="1">IFERROR(IF(0=LEN(ReferenceData!$S$93),"",ReferenceData!$S$93),"")</f>
        <v/>
      </c>
      <c r="T93" t="str">
        <f ca="1">IFERROR(IF(0=LEN(ReferenceData!$T$93),"",ReferenceData!$T$93),"")</f>
        <v/>
      </c>
      <c r="U93" t="str">
        <f ca="1">IFERROR(IF(0=LEN(ReferenceData!$U$93),"",ReferenceData!$U$93),"")</f>
        <v/>
      </c>
      <c r="V93" t="str">
        <f ca="1">IFERROR(IF(0=LEN(ReferenceData!$V$93),"",ReferenceData!$V$93),"")</f>
        <v/>
      </c>
      <c r="W93" t="str">
        <f ca="1">IFERROR(IF(0=LEN(ReferenceData!$W$93),"",ReferenceData!$W$93),"")</f>
        <v/>
      </c>
      <c r="X93" t="str">
        <f ca="1">IFERROR(IF(0=LEN(ReferenceData!$X$93),"",ReferenceData!$X$93),"")</f>
        <v/>
      </c>
      <c r="Y93" t="str">
        <f ca="1">IFERROR(IF(0=LEN(ReferenceData!$Y$93),"",ReferenceData!$Y$93),"")</f>
        <v/>
      </c>
      <c r="Z93" t="str">
        <f ca="1">IFERROR(IF(0=LEN(ReferenceData!$Z$93),"",ReferenceData!$Z$93),"")</f>
        <v/>
      </c>
      <c r="AA93" t="str">
        <f ca="1">IFERROR(IF(0=LEN(ReferenceData!$AA$93),"",ReferenceData!$AA$93),"")</f>
        <v/>
      </c>
      <c r="AB93" t="str">
        <f ca="1">IFERROR(IF(0=LEN(ReferenceData!$AB$93),"",ReferenceData!$AB$93),"")</f>
        <v/>
      </c>
      <c r="AC93" t="str">
        <f ca="1">IFERROR(IF(0=LEN(ReferenceData!$AC$93),"",ReferenceData!$AC$93),"")</f>
        <v/>
      </c>
      <c r="AD93" t="str">
        <f ca="1">IFERROR(IF(0=LEN(ReferenceData!$AD$93),"",ReferenceData!$AD$93),"")</f>
        <v/>
      </c>
      <c r="AE93" t="str">
        <f ca="1">IFERROR(IF(0=LEN(ReferenceData!$AE$93),"",ReferenceData!$AE$93),"")</f>
        <v/>
      </c>
      <c r="AF93" t="str">
        <f ca="1">IFERROR(IF(0=LEN(ReferenceData!$AF$93),"",ReferenceData!$AF$93),"")</f>
        <v/>
      </c>
      <c r="AG93" t="str">
        <f ca="1">IFERROR(IF(0=LEN(ReferenceData!$AG$93),"",ReferenceData!$AG$93),"")</f>
        <v/>
      </c>
      <c r="AH93" t="str">
        <f ca="1">IFERROR(IF(0=LEN(ReferenceData!$AH$93),"",ReferenceData!$AH$93),"")</f>
        <v/>
      </c>
      <c r="AI93" t="str">
        <f ca="1">IFERROR(IF(0=LEN(ReferenceData!$AI$93),"",ReferenceData!$AI$93),"")</f>
        <v/>
      </c>
      <c r="AJ93" t="str">
        <f ca="1">IFERROR(IF(0=LEN(ReferenceData!$AJ$93),"",ReferenceData!$AJ$93),"")</f>
        <v/>
      </c>
      <c r="AK93" t="str">
        <f ca="1">IFERROR(IF(0=LEN(ReferenceData!$AK$93),"",ReferenceData!$AK$93),"")</f>
        <v/>
      </c>
      <c r="AL93" t="str">
        <f ca="1">IFERROR(IF(0=LEN(ReferenceData!$AL$93),"",ReferenceData!$AL$93),"")</f>
        <v/>
      </c>
      <c r="AM93" t="str">
        <f ca="1">IFERROR(IF(0=LEN(ReferenceData!$AM$93),"",ReferenceData!$AM$93),"")</f>
        <v/>
      </c>
      <c r="AN93" t="str">
        <f ca="1">IFERROR(IF(0=LEN(ReferenceData!$AN$93),"",ReferenceData!$AN$93),"")</f>
        <v/>
      </c>
      <c r="AO93" t="str">
        <f ca="1">IFERROR(IF(0=LEN(ReferenceData!$AO$93),"",ReferenceData!$AO$93),"")</f>
        <v/>
      </c>
      <c r="AP93" t="str">
        <f ca="1">IFERROR(IF(0=LEN(ReferenceData!$AP$93),"",ReferenceData!$AP$93),"")</f>
        <v/>
      </c>
      <c r="AQ93" t="str">
        <f ca="1">IFERROR(IF(0=LEN(ReferenceData!$AQ$93),"",ReferenceData!$AQ$93),"")</f>
        <v/>
      </c>
      <c r="AR93" t="str">
        <f ca="1">IFERROR(IF(0=LEN(ReferenceData!$AR$93),"",ReferenceData!$AR$93),"")</f>
        <v/>
      </c>
      <c r="AS93" t="str">
        <f ca="1">IFERROR(IF(0=LEN(ReferenceData!$AS$93),"",ReferenceData!$AS$93),"")</f>
        <v/>
      </c>
      <c r="AT93" t="str">
        <f ca="1">IFERROR(IF(0=LEN(ReferenceData!$AT$93),"",ReferenceData!$AT$93),"")</f>
        <v/>
      </c>
      <c r="AU93" t="str">
        <f ca="1">IFERROR(IF(0=LEN(ReferenceData!$AU$93),"",ReferenceData!$AU$93),"")</f>
        <v/>
      </c>
      <c r="AV93" t="str">
        <f ca="1">IFERROR(IF(0=LEN(ReferenceData!$AV$93),"",ReferenceData!$AV$93),"")</f>
        <v/>
      </c>
      <c r="AW93" t="str">
        <f ca="1">IFERROR(IF(0=LEN(ReferenceData!$AW$93),"",ReferenceData!$AW$93),"")</f>
        <v/>
      </c>
      <c r="AX93" t="str">
        <f ca="1">IFERROR(IF(0=LEN(ReferenceData!$AX$93),"",ReferenceData!$AX$93),"")</f>
        <v/>
      </c>
      <c r="AY93" t="str">
        <f ca="1">IFERROR(IF(0=LEN(ReferenceData!$AY$93),"",ReferenceData!$AY$93),"")</f>
        <v/>
      </c>
      <c r="AZ93" t="str">
        <f ca="1">IFERROR(IF(0=LEN(ReferenceData!$AZ$93),"",ReferenceData!$AZ$93),"")</f>
        <v/>
      </c>
      <c r="BA93" t="str">
        <f ca="1">IFERROR(IF(0=LEN(ReferenceData!$BA$93),"",ReferenceData!$BA$93),"")</f>
        <v/>
      </c>
      <c r="BB93" t="str">
        <f ca="1">IFERROR(IF(0=LEN(ReferenceData!$BB$93),"",ReferenceData!$BB$93),"")</f>
        <v/>
      </c>
      <c r="BC93" t="str">
        <f ca="1">IFERROR(IF(0=LEN(ReferenceData!$BC$93),"",ReferenceData!$BC$93),"")</f>
        <v/>
      </c>
      <c r="BD93" t="str">
        <f ca="1">IFERROR(IF(0=LEN(ReferenceData!$BD$93),"",ReferenceData!$BD$93),"")</f>
        <v/>
      </c>
      <c r="BE93" t="str">
        <f ca="1">IFERROR(IF(0=LEN(ReferenceData!$BE$93),"",ReferenceData!$BE$93),"")</f>
        <v/>
      </c>
      <c r="BF93" t="str">
        <f ca="1">IFERROR(IF(0=LEN(ReferenceData!$BF$93),"",ReferenceData!$BF$93),"")</f>
        <v/>
      </c>
      <c r="BG93" t="str">
        <f ca="1">IFERROR(IF(0=LEN(ReferenceData!$BG$93),"",ReferenceData!$BG$93),"")</f>
        <v/>
      </c>
      <c r="BH93" t="str">
        <f ca="1">IFERROR(IF(0=LEN(ReferenceData!$BH$93),"",ReferenceData!$BH$93),"")</f>
        <v/>
      </c>
      <c r="BI93" t="str">
        <f ca="1">IFERROR(IF(0=LEN(ReferenceData!$BI$93),"",ReferenceData!$BI$93),"")</f>
        <v/>
      </c>
      <c r="BJ93" t="str">
        <f ca="1">IFERROR(IF(0=LEN(ReferenceData!$BJ$93),"",ReferenceData!$BJ$93),"")</f>
        <v/>
      </c>
      <c r="BK93" t="str">
        <f ca="1">IFERROR(IF(0=LEN(ReferenceData!$BK$93),"",ReferenceData!$BK$93),"")</f>
        <v/>
      </c>
      <c r="BL93" t="str">
        <f ca="1">IFERROR(IF(0=LEN(ReferenceData!$BL$93),"",ReferenceData!$BL$93),"")</f>
        <v/>
      </c>
      <c r="BM93" t="str">
        <f ca="1">IFERROR(IF(0=LEN(ReferenceData!$BM$93),"",ReferenceData!$BM$93),"")</f>
        <v/>
      </c>
    </row>
    <row r="94" spans="1:65">
      <c r="A94" t="str">
        <f>IFERROR(IF(0=LEN(ReferenceData!$A$94),"",ReferenceData!$A$94),"")</f>
        <v xml:space="preserve">    M&amp;T Bank Corp</v>
      </c>
      <c r="B94" t="str">
        <f>IFERROR(IF(0=LEN(ReferenceData!$B$94),"",ReferenceData!$B$94),"")</f>
        <v>MTB US Equity</v>
      </c>
      <c r="C94" t="str">
        <f>IFERROR(IF(0=LEN(ReferenceData!$C$94),"",ReferenceData!$C$94),"")</f>
        <v>BS961</v>
      </c>
      <c r="D94" t="str">
        <f>IFERROR(IF(0=LEN(ReferenceData!$D$94),"",ReferenceData!$D$94),"")</f>
        <v>BS_RES_MTG_OWNED_SERVICED_PORT</v>
      </c>
      <c r="E94" t="str">
        <f>IFERROR(IF(0=LEN(ReferenceData!$E$94),"",ReferenceData!$E$94),"")</f>
        <v>Dynamic</v>
      </c>
      <c r="F94" t="str">
        <f ca="1">IFERROR(IF(0=LEN(ReferenceData!$F$94),"",ReferenceData!$F$94),"")</f>
        <v/>
      </c>
      <c r="G94" t="str">
        <f ca="1">IFERROR(IF(0=LEN(ReferenceData!$G$94),"",ReferenceData!$G$94),"")</f>
        <v/>
      </c>
      <c r="H94" t="str">
        <f ca="1">IFERROR(IF(0=LEN(ReferenceData!$H$94),"",ReferenceData!$H$94),"")</f>
        <v/>
      </c>
      <c r="I94" t="str">
        <f ca="1">IFERROR(IF(0=LEN(ReferenceData!$I$94),"",ReferenceData!$I$94),"")</f>
        <v/>
      </c>
      <c r="J94" t="str">
        <f ca="1">IFERROR(IF(0=LEN(ReferenceData!$J$94),"",ReferenceData!$J$94),"")</f>
        <v/>
      </c>
      <c r="K94" t="str">
        <f ca="1">IFERROR(IF(0=LEN(ReferenceData!$K$94),"",ReferenceData!$K$94),"")</f>
        <v/>
      </c>
      <c r="L94" t="str">
        <f ca="1">IFERROR(IF(0=LEN(ReferenceData!$L$94),"",ReferenceData!$L$94),"")</f>
        <v/>
      </c>
      <c r="M94" t="str">
        <f ca="1">IFERROR(IF(0=LEN(ReferenceData!$M$94),"",ReferenceData!$M$94),"")</f>
        <v/>
      </c>
      <c r="N94" t="str">
        <f ca="1">IFERROR(IF(0=LEN(ReferenceData!$N$94),"",ReferenceData!$N$94),"")</f>
        <v/>
      </c>
      <c r="O94" t="str">
        <f ca="1">IFERROR(IF(0=LEN(ReferenceData!$O$94),"",ReferenceData!$O$94),"")</f>
        <v/>
      </c>
      <c r="P94" t="str">
        <f ca="1">IFERROR(IF(0=LEN(ReferenceData!$P$94),"",ReferenceData!$P$94),"")</f>
        <v/>
      </c>
      <c r="Q94" t="str">
        <f ca="1">IFERROR(IF(0=LEN(ReferenceData!$Q$94),"",ReferenceData!$Q$94),"")</f>
        <v/>
      </c>
      <c r="R94" t="str">
        <f ca="1">IFERROR(IF(0=LEN(ReferenceData!$R$94),"",ReferenceData!$R$94),"")</f>
        <v/>
      </c>
      <c r="S94" t="str">
        <f ca="1">IFERROR(IF(0=LEN(ReferenceData!$S$94),"",ReferenceData!$S$94),"")</f>
        <v/>
      </c>
      <c r="T94" t="str">
        <f ca="1">IFERROR(IF(0=LEN(ReferenceData!$T$94),"",ReferenceData!$T$94),"")</f>
        <v/>
      </c>
      <c r="U94" t="str">
        <f ca="1">IFERROR(IF(0=LEN(ReferenceData!$U$94),"",ReferenceData!$U$94),"")</f>
        <v/>
      </c>
      <c r="V94" t="str">
        <f ca="1">IFERROR(IF(0=LEN(ReferenceData!$V$94),"",ReferenceData!$V$94),"")</f>
        <v/>
      </c>
      <c r="W94" t="str">
        <f ca="1">IFERROR(IF(0=LEN(ReferenceData!$W$94),"",ReferenceData!$W$94),"")</f>
        <v/>
      </c>
      <c r="X94" t="str">
        <f ca="1">IFERROR(IF(0=LEN(ReferenceData!$X$94),"",ReferenceData!$X$94),"")</f>
        <v/>
      </c>
      <c r="Y94" t="str">
        <f ca="1">IFERROR(IF(0=LEN(ReferenceData!$Y$94),"",ReferenceData!$Y$94),"")</f>
        <v/>
      </c>
      <c r="Z94" t="str">
        <f ca="1">IFERROR(IF(0=LEN(ReferenceData!$Z$94),"",ReferenceData!$Z$94),"")</f>
        <v/>
      </c>
      <c r="AA94" t="str">
        <f ca="1">IFERROR(IF(0=LEN(ReferenceData!$AA$94),"",ReferenceData!$AA$94),"")</f>
        <v/>
      </c>
      <c r="AB94" t="str">
        <f ca="1">IFERROR(IF(0=LEN(ReferenceData!$AB$94),"",ReferenceData!$AB$94),"")</f>
        <v/>
      </c>
      <c r="AC94" t="str">
        <f ca="1">IFERROR(IF(0=LEN(ReferenceData!$AC$94),"",ReferenceData!$AC$94),"")</f>
        <v/>
      </c>
      <c r="AD94" t="str">
        <f ca="1">IFERROR(IF(0=LEN(ReferenceData!$AD$94),"",ReferenceData!$AD$94),"")</f>
        <v/>
      </c>
      <c r="AE94" t="str">
        <f ca="1">IFERROR(IF(0=LEN(ReferenceData!$AE$94),"",ReferenceData!$AE$94),"")</f>
        <v/>
      </c>
      <c r="AF94" t="str">
        <f ca="1">IFERROR(IF(0=LEN(ReferenceData!$AF$94),"",ReferenceData!$AF$94),"")</f>
        <v/>
      </c>
      <c r="AG94" t="str">
        <f ca="1">IFERROR(IF(0=LEN(ReferenceData!$AG$94),"",ReferenceData!$AG$94),"")</f>
        <v/>
      </c>
      <c r="AH94" t="str">
        <f ca="1">IFERROR(IF(0=LEN(ReferenceData!$AH$94),"",ReferenceData!$AH$94),"")</f>
        <v/>
      </c>
      <c r="AI94" t="str">
        <f ca="1">IFERROR(IF(0=LEN(ReferenceData!$AI$94),"",ReferenceData!$AI$94),"")</f>
        <v/>
      </c>
      <c r="AJ94" t="str">
        <f ca="1">IFERROR(IF(0=LEN(ReferenceData!$AJ$94),"",ReferenceData!$AJ$94),"")</f>
        <v/>
      </c>
      <c r="AK94" t="str">
        <f ca="1">IFERROR(IF(0=LEN(ReferenceData!$AK$94),"",ReferenceData!$AK$94),"")</f>
        <v/>
      </c>
      <c r="AL94" t="str">
        <f ca="1">IFERROR(IF(0=LEN(ReferenceData!$AL$94),"",ReferenceData!$AL$94),"")</f>
        <v/>
      </c>
      <c r="AM94" t="str">
        <f ca="1">IFERROR(IF(0=LEN(ReferenceData!$AM$94),"",ReferenceData!$AM$94),"")</f>
        <v/>
      </c>
      <c r="AN94" t="str">
        <f ca="1">IFERROR(IF(0=LEN(ReferenceData!$AN$94),"",ReferenceData!$AN$94),"")</f>
        <v/>
      </c>
      <c r="AO94" t="str">
        <f ca="1">IFERROR(IF(0=LEN(ReferenceData!$AO$94),"",ReferenceData!$AO$94),"")</f>
        <v/>
      </c>
      <c r="AP94" t="str">
        <f ca="1">IFERROR(IF(0=LEN(ReferenceData!$AP$94),"",ReferenceData!$AP$94),"")</f>
        <v/>
      </c>
      <c r="AQ94" t="str">
        <f ca="1">IFERROR(IF(0=LEN(ReferenceData!$AQ$94),"",ReferenceData!$AQ$94),"")</f>
        <v/>
      </c>
      <c r="AR94" t="str">
        <f ca="1">IFERROR(IF(0=LEN(ReferenceData!$AR$94),"",ReferenceData!$AR$94),"")</f>
        <v/>
      </c>
      <c r="AS94" t="str">
        <f ca="1">IFERROR(IF(0=LEN(ReferenceData!$AS$94),"",ReferenceData!$AS$94),"")</f>
        <v/>
      </c>
      <c r="AT94" t="str">
        <f ca="1">IFERROR(IF(0=LEN(ReferenceData!$AT$94),"",ReferenceData!$AT$94),"")</f>
        <v/>
      </c>
      <c r="AU94" t="str">
        <f ca="1">IFERROR(IF(0=LEN(ReferenceData!$AU$94),"",ReferenceData!$AU$94),"")</f>
        <v/>
      </c>
      <c r="AV94" t="str">
        <f ca="1">IFERROR(IF(0=LEN(ReferenceData!$AV$94),"",ReferenceData!$AV$94),"")</f>
        <v/>
      </c>
      <c r="AW94" t="str">
        <f ca="1">IFERROR(IF(0=LEN(ReferenceData!$AW$94),"",ReferenceData!$AW$94),"")</f>
        <v/>
      </c>
      <c r="AX94" t="str">
        <f ca="1">IFERROR(IF(0=LEN(ReferenceData!$AX$94),"",ReferenceData!$AX$94),"")</f>
        <v/>
      </c>
      <c r="AY94" t="str">
        <f ca="1">IFERROR(IF(0=LEN(ReferenceData!$AY$94),"",ReferenceData!$AY$94),"")</f>
        <v/>
      </c>
      <c r="AZ94" t="str">
        <f ca="1">IFERROR(IF(0=LEN(ReferenceData!$AZ$94),"",ReferenceData!$AZ$94),"")</f>
        <v/>
      </c>
      <c r="BA94" t="str">
        <f ca="1">IFERROR(IF(0=LEN(ReferenceData!$BA$94),"",ReferenceData!$BA$94),"")</f>
        <v/>
      </c>
      <c r="BB94" t="str">
        <f ca="1">IFERROR(IF(0=LEN(ReferenceData!$BB$94),"",ReferenceData!$BB$94),"")</f>
        <v/>
      </c>
      <c r="BC94" t="str">
        <f ca="1">IFERROR(IF(0=LEN(ReferenceData!$BC$94),"",ReferenceData!$BC$94),"")</f>
        <v/>
      </c>
      <c r="BD94" t="str">
        <f ca="1">IFERROR(IF(0=LEN(ReferenceData!$BD$94),"",ReferenceData!$BD$94),"")</f>
        <v/>
      </c>
      <c r="BE94" t="str">
        <f ca="1">IFERROR(IF(0=LEN(ReferenceData!$BE$94),"",ReferenceData!$BE$94),"")</f>
        <v/>
      </c>
      <c r="BF94" t="str">
        <f ca="1">IFERROR(IF(0=LEN(ReferenceData!$BF$94),"",ReferenceData!$BF$94),"")</f>
        <v/>
      </c>
      <c r="BG94" t="str">
        <f ca="1">IFERROR(IF(0=LEN(ReferenceData!$BG$94),"",ReferenceData!$BG$94),"")</f>
        <v/>
      </c>
      <c r="BH94" t="str">
        <f ca="1">IFERROR(IF(0=LEN(ReferenceData!$BH$94),"",ReferenceData!$BH$94),"")</f>
        <v/>
      </c>
      <c r="BI94" t="str">
        <f ca="1">IFERROR(IF(0=LEN(ReferenceData!$BI$94),"",ReferenceData!$BI$94),"")</f>
        <v/>
      </c>
      <c r="BJ94" t="str">
        <f ca="1">IFERROR(IF(0=LEN(ReferenceData!$BJ$94),"",ReferenceData!$BJ$94),"")</f>
        <v/>
      </c>
      <c r="BK94" t="str">
        <f ca="1">IFERROR(IF(0=LEN(ReferenceData!$BK$94),"",ReferenceData!$BK$94),"")</f>
        <v/>
      </c>
      <c r="BL94" t="str">
        <f ca="1">IFERROR(IF(0=LEN(ReferenceData!$BL$94),"",ReferenceData!$BL$94),"")</f>
        <v/>
      </c>
      <c r="BM94" t="str">
        <f ca="1">IFERROR(IF(0=LEN(ReferenceData!$BM$94),"",ReferenceData!$BM$94),"")</f>
        <v/>
      </c>
    </row>
    <row r="95" spans="1:65">
      <c r="A95" t="str">
        <f>IFERROR(IF(0=LEN(ReferenceData!$A$95),"",ReferenceData!$A$95),"")</f>
        <v xml:space="preserve">    PNC Financial Services Group I</v>
      </c>
      <c r="B95" t="str">
        <f>IFERROR(IF(0=LEN(ReferenceData!$B$95),"",ReferenceData!$B$95),"")</f>
        <v>PNC US Equity</v>
      </c>
      <c r="C95" t="str">
        <f>IFERROR(IF(0=LEN(ReferenceData!$C$95),"",ReferenceData!$C$95),"")</f>
        <v>BS961</v>
      </c>
      <c r="D95" t="str">
        <f>IFERROR(IF(0=LEN(ReferenceData!$D$95),"",ReferenceData!$D$95),"")</f>
        <v>BS_RES_MTG_OWNED_SERVICED_PORT</v>
      </c>
      <c r="E95" t="str">
        <f>IFERROR(IF(0=LEN(ReferenceData!$E$95),"",ReferenceData!$E$95),"")</f>
        <v>Dynamic</v>
      </c>
      <c r="F95" t="str">
        <f ca="1">IFERROR(IF(0=LEN(ReferenceData!$F$95),"",ReferenceData!$F$95),"")</f>
        <v/>
      </c>
      <c r="G95" t="str">
        <f ca="1">IFERROR(IF(0=LEN(ReferenceData!$G$95),"",ReferenceData!$G$95),"")</f>
        <v/>
      </c>
      <c r="H95" t="str">
        <f ca="1">IFERROR(IF(0=LEN(ReferenceData!$H$95),"",ReferenceData!$H$95),"")</f>
        <v/>
      </c>
      <c r="I95" t="str">
        <f ca="1">IFERROR(IF(0=LEN(ReferenceData!$I$95),"",ReferenceData!$I$95),"")</f>
        <v/>
      </c>
      <c r="J95" t="str">
        <f ca="1">IFERROR(IF(0=LEN(ReferenceData!$J$95),"",ReferenceData!$J$95),"")</f>
        <v/>
      </c>
      <c r="K95" t="str">
        <f ca="1">IFERROR(IF(0=LEN(ReferenceData!$K$95),"",ReferenceData!$K$95),"")</f>
        <v/>
      </c>
      <c r="L95" t="str">
        <f ca="1">IFERROR(IF(0=LEN(ReferenceData!$L$95),"",ReferenceData!$L$95),"")</f>
        <v/>
      </c>
      <c r="M95" t="str">
        <f ca="1">IFERROR(IF(0=LEN(ReferenceData!$M$95),"",ReferenceData!$M$95),"")</f>
        <v/>
      </c>
      <c r="N95" t="str">
        <f ca="1">IFERROR(IF(0=LEN(ReferenceData!$N$95),"",ReferenceData!$N$95),"")</f>
        <v/>
      </c>
      <c r="O95" t="str">
        <f ca="1">IFERROR(IF(0=LEN(ReferenceData!$O$95),"",ReferenceData!$O$95),"")</f>
        <v/>
      </c>
      <c r="P95" t="str">
        <f ca="1">IFERROR(IF(0=LEN(ReferenceData!$P$95),"",ReferenceData!$P$95),"")</f>
        <v/>
      </c>
      <c r="Q95" t="str">
        <f ca="1">IFERROR(IF(0=LEN(ReferenceData!$Q$95),"",ReferenceData!$Q$95),"")</f>
        <v/>
      </c>
      <c r="R95" t="str">
        <f ca="1">IFERROR(IF(0=LEN(ReferenceData!$R$95),"",ReferenceData!$R$95),"")</f>
        <v/>
      </c>
      <c r="S95" t="str">
        <f ca="1">IFERROR(IF(0=LEN(ReferenceData!$S$95),"",ReferenceData!$S$95),"")</f>
        <v/>
      </c>
      <c r="T95" t="str">
        <f ca="1">IFERROR(IF(0=LEN(ReferenceData!$T$95),"",ReferenceData!$T$95),"")</f>
        <v/>
      </c>
      <c r="U95" t="str">
        <f ca="1">IFERROR(IF(0=LEN(ReferenceData!$U$95),"",ReferenceData!$U$95),"")</f>
        <v/>
      </c>
      <c r="V95" t="str">
        <f ca="1">IFERROR(IF(0=LEN(ReferenceData!$V$95),"",ReferenceData!$V$95),"")</f>
        <v/>
      </c>
      <c r="W95" t="str">
        <f ca="1">IFERROR(IF(0=LEN(ReferenceData!$W$95),"",ReferenceData!$W$95),"")</f>
        <v/>
      </c>
      <c r="X95" t="str">
        <f ca="1">IFERROR(IF(0=LEN(ReferenceData!$X$95),"",ReferenceData!$X$95),"")</f>
        <v/>
      </c>
      <c r="Y95" t="str">
        <f ca="1">IFERROR(IF(0=LEN(ReferenceData!$Y$95),"",ReferenceData!$Y$95),"")</f>
        <v/>
      </c>
      <c r="Z95" t="str">
        <f ca="1">IFERROR(IF(0=LEN(ReferenceData!$Z$95),"",ReferenceData!$Z$95),"")</f>
        <v/>
      </c>
      <c r="AA95" t="str">
        <f ca="1">IFERROR(IF(0=LEN(ReferenceData!$AA$95),"",ReferenceData!$AA$95),"")</f>
        <v/>
      </c>
      <c r="AB95" t="str">
        <f ca="1">IFERROR(IF(0=LEN(ReferenceData!$AB$95),"",ReferenceData!$AB$95),"")</f>
        <v/>
      </c>
      <c r="AC95" t="str">
        <f ca="1">IFERROR(IF(0=LEN(ReferenceData!$AC$95),"",ReferenceData!$AC$95),"")</f>
        <v/>
      </c>
      <c r="AD95" t="str">
        <f ca="1">IFERROR(IF(0=LEN(ReferenceData!$AD$95),"",ReferenceData!$AD$95),"")</f>
        <v/>
      </c>
      <c r="AE95" t="str">
        <f ca="1">IFERROR(IF(0=LEN(ReferenceData!$AE$95),"",ReferenceData!$AE$95),"")</f>
        <v/>
      </c>
      <c r="AF95" t="str">
        <f ca="1">IFERROR(IF(0=LEN(ReferenceData!$AF$95),"",ReferenceData!$AF$95),"")</f>
        <v/>
      </c>
      <c r="AG95" t="str">
        <f ca="1">IFERROR(IF(0=LEN(ReferenceData!$AG$95),"",ReferenceData!$AG$95),"")</f>
        <v/>
      </c>
      <c r="AH95" t="str">
        <f ca="1">IFERROR(IF(0=LEN(ReferenceData!$AH$95),"",ReferenceData!$AH$95),"")</f>
        <v/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 t="str">
        <f ca="1">IFERROR(IF(0=LEN(ReferenceData!$AP$95),"",ReferenceData!$AP$95),"")</f>
        <v/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 t="str">
        <f ca="1">IFERROR(IF(0=LEN(ReferenceData!$AT$95),"",ReferenceData!$AT$95),"")</f>
        <v/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>
        <f ca="1">IFERROR(IF(0=LEN(ReferenceData!$BF$95),"",ReferenceData!$BF$95),"")</f>
        <v>13000</v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>
        <f ca="1">IFERROR(IF(0=LEN(ReferenceData!$BJ$95),"",ReferenceData!$BJ$95),"")</f>
        <v>14000</v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>
      <c r="A96" t="str">
        <f>IFERROR(IF(0=LEN(ReferenceData!$A$96),"",ReferenceData!$A$96),"")</f>
        <v xml:space="preserve">    Regions Financial Corp</v>
      </c>
      <c r="B96" t="str">
        <f>IFERROR(IF(0=LEN(ReferenceData!$B$96),"",ReferenceData!$B$96),"")</f>
        <v>RF US Equity</v>
      </c>
      <c r="C96" t="str">
        <f>IFERROR(IF(0=LEN(ReferenceData!$C$96),"",ReferenceData!$C$96),"")</f>
        <v>BS961</v>
      </c>
      <c r="D96" t="str">
        <f>IFERROR(IF(0=LEN(ReferenceData!$D$96),"",ReferenceData!$D$96),"")</f>
        <v>BS_RES_MTG_OWNED_SERVICED_PORT</v>
      </c>
      <c r="E96" t="str">
        <f>IFERROR(IF(0=LEN(ReferenceData!$E$96),"",ReferenceData!$E$96),"")</f>
        <v>Dynamic</v>
      </c>
      <c r="F96" t="str">
        <f ca="1">IFERROR(IF(0=LEN(ReferenceData!$F$96),"",ReferenceData!$F$96),"")</f>
        <v/>
      </c>
      <c r="G96" t="str">
        <f ca="1">IFERROR(IF(0=LEN(ReferenceData!$G$96),"",ReferenceData!$G$96),"")</f>
        <v/>
      </c>
      <c r="H96" t="str">
        <f ca="1">IFERROR(IF(0=LEN(ReferenceData!$H$96),"",ReferenceData!$H$96),"")</f>
        <v/>
      </c>
      <c r="I96" t="str">
        <f ca="1">IFERROR(IF(0=LEN(ReferenceData!$I$96),"",ReferenceData!$I$96),"")</f>
        <v/>
      </c>
      <c r="J96" t="str">
        <f ca="1">IFERROR(IF(0=LEN(ReferenceData!$J$96),"",ReferenceData!$J$96),"")</f>
        <v/>
      </c>
      <c r="K96" t="str">
        <f ca="1">IFERROR(IF(0=LEN(ReferenceData!$K$96),"",ReferenceData!$K$96),"")</f>
        <v/>
      </c>
      <c r="L96" t="str">
        <f ca="1">IFERROR(IF(0=LEN(ReferenceData!$L$96),"",ReferenceData!$L$96),"")</f>
        <v/>
      </c>
      <c r="M96" t="str">
        <f ca="1">IFERROR(IF(0=LEN(ReferenceData!$M$96),"",ReferenceData!$M$96),"")</f>
        <v/>
      </c>
      <c r="N96" t="str">
        <f ca="1">IFERROR(IF(0=LEN(ReferenceData!$N$96),"",ReferenceData!$N$96),"")</f>
        <v/>
      </c>
      <c r="O96" t="str">
        <f ca="1">IFERROR(IF(0=LEN(ReferenceData!$O$96),"",ReferenceData!$O$96),"")</f>
        <v/>
      </c>
      <c r="P96" t="str">
        <f ca="1">IFERROR(IF(0=LEN(ReferenceData!$P$96),"",ReferenceData!$P$96),"")</f>
        <v/>
      </c>
      <c r="Q96" t="str">
        <f ca="1">IFERROR(IF(0=LEN(ReferenceData!$Q$96),"",ReferenceData!$Q$96),"")</f>
        <v/>
      </c>
      <c r="R96" t="str">
        <f ca="1">IFERROR(IF(0=LEN(ReferenceData!$R$96),"",ReferenceData!$R$96),"")</f>
        <v/>
      </c>
      <c r="S96" t="str">
        <f ca="1">IFERROR(IF(0=LEN(ReferenceData!$S$96),"",ReferenceData!$S$96),"")</f>
        <v/>
      </c>
      <c r="T96" t="str">
        <f ca="1">IFERROR(IF(0=LEN(ReferenceData!$T$96),"",ReferenceData!$T$96),"")</f>
        <v/>
      </c>
      <c r="U96" t="str">
        <f ca="1">IFERROR(IF(0=LEN(ReferenceData!$U$96),"",ReferenceData!$U$96),"")</f>
        <v/>
      </c>
      <c r="V96" t="str">
        <f ca="1">IFERROR(IF(0=LEN(ReferenceData!$V$96),"",ReferenceData!$V$96),"")</f>
        <v/>
      </c>
      <c r="W96" t="str">
        <f ca="1">IFERROR(IF(0=LEN(ReferenceData!$W$96),"",ReferenceData!$W$96),"")</f>
        <v/>
      </c>
      <c r="X96" t="str">
        <f ca="1">IFERROR(IF(0=LEN(ReferenceData!$X$96),"",ReferenceData!$X$96),"")</f>
        <v/>
      </c>
      <c r="Y96" t="str">
        <f ca="1">IFERROR(IF(0=LEN(ReferenceData!$Y$96),"",ReferenceData!$Y$96),"")</f>
        <v/>
      </c>
      <c r="Z96" t="str">
        <f ca="1">IFERROR(IF(0=LEN(ReferenceData!$Z$96),"",ReferenceData!$Z$96),"")</f>
        <v/>
      </c>
      <c r="AA96" t="str">
        <f ca="1">IFERROR(IF(0=LEN(ReferenceData!$AA$96),"",ReferenceData!$AA$96),"")</f>
        <v/>
      </c>
      <c r="AB96" t="str">
        <f ca="1">IFERROR(IF(0=LEN(ReferenceData!$AB$96),"",ReferenceData!$AB$96),"")</f>
        <v/>
      </c>
      <c r="AC96" t="str">
        <f ca="1">IFERROR(IF(0=LEN(ReferenceData!$AC$96),"",ReferenceData!$AC$96),"")</f>
        <v/>
      </c>
      <c r="AD96" t="str">
        <f ca="1">IFERROR(IF(0=LEN(ReferenceData!$AD$96),"",ReferenceData!$AD$96),"")</f>
        <v/>
      </c>
      <c r="AE96" t="str">
        <f ca="1">IFERROR(IF(0=LEN(ReferenceData!$AE$96),"",ReferenceData!$AE$96),"")</f>
        <v/>
      </c>
      <c r="AF96" t="str">
        <f ca="1">IFERROR(IF(0=LEN(ReferenceData!$AF$96),"",ReferenceData!$AF$96),"")</f>
        <v/>
      </c>
      <c r="AG96" t="str">
        <f ca="1">IFERROR(IF(0=LEN(ReferenceData!$AG$96),"",ReferenceData!$AG$96),"")</f>
        <v/>
      </c>
      <c r="AH96" t="str">
        <f ca="1">IFERROR(IF(0=LEN(ReferenceData!$AH$96),"",ReferenceData!$AH$96),"")</f>
        <v/>
      </c>
      <c r="AI96" t="str">
        <f ca="1">IFERROR(IF(0=LEN(ReferenceData!$AI$96),"",ReferenceData!$AI$96),"")</f>
        <v/>
      </c>
      <c r="AJ96" t="str">
        <f ca="1">IFERROR(IF(0=LEN(ReferenceData!$AJ$96),"",ReferenceData!$AJ$96),"")</f>
        <v/>
      </c>
      <c r="AK96" t="str">
        <f ca="1">IFERROR(IF(0=LEN(ReferenceData!$AK$96),"",ReferenceData!$AK$96),"")</f>
        <v/>
      </c>
      <c r="AL96" t="str">
        <f ca="1">IFERROR(IF(0=LEN(ReferenceData!$AL$96),"",ReferenceData!$AL$96),"")</f>
        <v/>
      </c>
      <c r="AM96" t="str">
        <f ca="1">IFERROR(IF(0=LEN(ReferenceData!$AM$96),"",ReferenceData!$AM$96),"")</f>
        <v/>
      </c>
      <c r="AN96" t="str">
        <f ca="1">IFERROR(IF(0=LEN(ReferenceData!$AN$96),"",ReferenceData!$AN$96),"")</f>
        <v/>
      </c>
      <c r="AO96" t="str">
        <f ca="1">IFERROR(IF(0=LEN(ReferenceData!$AO$96),"",ReferenceData!$AO$96),"")</f>
        <v/>
      </c>
      <c r="AP96" t="str">
        <f ca="1">IFERROR(IF(0=LEN(ReferenceData!$AP$96),"",ReferenceData!$AP$96),"")</f>
        <v/>
      </c>
      <c r="AQ96" t="str">
        <f ca="1">IFERROR(IF(0=LEN(ReferenceData!$AQ$96),"",ReferenceData!$AQ$96),"")</f>
        <v/>
      </c>
      <c r="AR96" t="str">
        <f ca="1">IFERROR(IF(0=LEN(ReferenceData!$AR$96),"",ReferenceData!$AR$96),"")</f>
        <v/>
      </c>
      <c r="AS96" t="str">
        <f ca="1">IFERROR(IF(0=LEN(ReferenceData!$AS$96),"",ReferenceData!$AS$96),"")</f>
        <v/>
      </c>
      <c r="AT96" t="str">
        <f ca="1">IFERROR(IF(0=LEN(ReferenceData!$AT$96),"",ReferenceData!$AT$96),"")</f>
        <v/>
      </c>
      <c r="AU96" t="str">
        <f ca="1">IFERROR(IF(0=LEN(ReferenceData!$AU$96),"",ReferenceData!$AU$96),"")</f>
        <v/>
      </c>
      <c r="AV96" t="str">
        <f ca="1">IFERROR(IF(0=LEN(ReferenceData!$AV$96),"",ReferenceData!$AV$96),"")</f>
        <v/>
      </c>
      <c r="AW96" t="str">
        <f ca="1">IFERROR(IF(0=LEN(ReferenceData!$AW$96),"",ReferenceData!$AW$96),"")</f>
        <v/>
      </c>
      <c r="AX96" t="str">
        <f ca="1">IFERROR(IF(0=LEN(ReferenceData!$AX$96),"",ReferenceData!$AX$96),"")</f>
        <v/>
      </c>
      <c r="AY96" t="str">
        <f ca="1">IFERROR(IF(0=LEN(ReferenceData!$AY$96),"",ReferenceData!$AY$96),"")</f>
        <v/>
      </c>
      <c r="AZ96" t="str">
        <f ca="1">IFERROR(IF(0=LEN(ReferenceData!$AZ$96),"",ReferenceData!$AZ$96),"")</f>
        <v/>
      </c>
      <c r="BA96" t="str">
        <f ca="1">IFERROR(IF(0=LEN(ReferenceData!$BA$96),"",ReferenceData!$BA$96),"")</f>
        <v/>
      </c>
      <c r="BB96" t="str">
        <f ca="1">IFERROR(IF(0=LEN(ReferenceData!$BB$96),"",ReferenceData!$BB$96),"")</f>
        <v/>
      </c>
      <c r="BC96" t="str">
        <f ca="1">IFERROR(IF(0=LEN(ReferenceData!$BC$96),"",ReferenceData!$BC$96),"")</f>
        <v/>
      </c>
      <c r="BD96" t="str">
        <f ca="1">IFERROR(IF(0=LEN(ReferenceData!$BD$96),"",ReferenceData!$BD$96),"")</f>
        <v/>
      </c>
      <c r="BE96" t="str">
        <f ca="1">IFERROR(IF(0=LEN(ReferenceData!$BE$96),"",ReferenceData!$BE$96),"")</f>
        <v/>
      </c>
      <c r="BF96">
        <f ca="1">IFERROR(IF(0=LEN(ReferenceData!$BF$96),"",ReferenceData!$BF$96),"")</f>
        <v>14400</v>
      </c>
      <c r="BG96" t="str">
        <f ca="1">IFERROR(IF(0=LEN(ReferenceData!$BG$96),"",ReferenceData!$BG$96),"")</f>
        <v/>
      </c>
      <c r="BH96" t="str">
        <f ca="1">IFERROR(IF(0=LEN(ReferenceData!$BH$96),"",ReferenceData!$BH$96),"")</f>
        <v/>
      </c>
      <c r="BI96" t="str">
        <f ca="1">IFERROR(IF(0=LEN(ReferenceData!$BI$96),"",ReferenceData!$BI$96),"")</f>
        <v/>
      </c>
      <c r="BJ96">
        <f ca="1">IFERROR(IF(0=LEN(ReferenceData!$BJ$96),"",ReferenceData!$BJ$96),"")</f>
        <v>15700</v>
      </c>
      <c r="BK96" t="str">
        <f ca="1">IFERROR(IF(0=LEN(ReferenceData!$BK$96),"",ReferenceData!$BK$96),"")</f>
        <v/>
      </c>
      <c r="BL96" t="str">
        <f ca="1">IFERROR(IF(0=LEN(ReferenceData!$BL$96),"",ReferenceData!$BL$96),"")</f>
        <v/>
      </c>
      <c r="BM96" t="str">
        <f ca="1">IFERROR(IF(0=LEN(ReferenceData!$BM$96),"",ReferenceData!$BM$96),"")</f>
        <v/>
      </c>
    </row>
    <row r="97" spans="1:65">
      <c r="A97" t="str">
        <f>IFERROR(IF(0=LEN(ReferenceData!$A$97),"",ReferenceData!$A$97),"")</f>
        <v xml:space="preserve">    Signature Bank/New York NY</v>
      </c>
      <c r="B97" t="str">
        <f>IFERROR(IF(0=LEN(ReferenceData!$B$97),"",ReferenceData!$B$97),"")</f>
        <v>SBNY US Equity</v>
      </c>
      <c r="C97" t="str">
        <f>IFERROR(IF(0=LEN(ReferenceData!$C$97),"",ReferenceData!$C$97),"")</f>
        <v>BS961</v>
      </c>
      <c r="D97" t="str">
        <f>IFERROR(IF(0=LEN(ReferenceData!$D$97),"",ReferenceData!$D$97),"")</f>
        <v>BS_RES_MTG_OWNED_SERVICED_PORT</v>
      </c>
      <c r="E97" t="str">
        <f>IFERROR(IF(0=LEN(ReferenceData!$E$97),"",ReferenceData!$E$97),"")</f>
        <v>Dynamic</v>
      </c>
      <c r="F97" t="str">
        <f ca="1">IFERROR(IF(0=LEN(ReferenceData!$F$97),"",ReferenceData!$F$97),"")</f>
        <v/>
      </c>
      <c r="G97" t="str">
        <f ca="1">IFERROR(IF(0=LEN(ReferenceData!$G$97),"",ReferenceData!$G$97),"")</f>
        <v/>
      </c>
      <c r="H97" t="str">
        <f ca="1">IFERROR(IF(0=LEN(ReferenceData!$H$97),"",ReferenceData!$H$97),"")</f>
        <v/>
      </c>
      <c r="I97" t="str">
        <f ca="1">IFERROR(IF(0=LEN(ReferenceData!$I$97),"",ReferenceData!$I$97),"")</f>
        <v/>
      </c>
      <c r="J97" t="str">
        <f ca="1">IFERROR(IF(0=LEN(ReferenceData!$J$97),"",ReferenceData!$J$97),"")</f>
        <v/>
      </c>
      <c r="K97" t="str">
        <f ca="1">IFERROR(IF(0=LEN(ReferenceData!$K$97),"",ReferenceData!$K$97),"")</f>
        <v/>
      </c>
      <c r="L97" t="str">
        <f ca="1">IFERROR(IF(0=LEN(ReferenceData!$L$97),"",ReferenceData!$L$97),"")</f>
        <v/>
      </c>
      <c r="M97" t="str">
        <f ca="1">IFERROR(IF(0=LEN(ReferenceData!$M$97),"",ReferenceData!$M$97),"")</f>
        <v/>
      </c>
      <c r="N97" t="str">
        <f ca="1">IFERROR(IF(0=LEN(ReferenceData!$N$97),"",ReferenceData!$N$97),"")</f>
        <v/>
      </c>
      <c r="O97" t="str">
        <f ca="1">IFERROR(IF(0=LEN(ReferenceData!$O$97),"",ReferenceData!$O$97),"")</f>
        <v/>
      </c>
      <c r="P97" t="str">
        <f ca="1">IFERROR(IF(0=LEN(ReferenceData!$P$97),"",ReferenceData!$P$97),"")</f>
        <v/>
      </c>
      <c r="Q97" t="str">
        <f ca="1">IFERROR(IF(0=LEN(ReferenceData!$Q$97),"",ReferenceData!$Q$97),"")</f>
        <v/>
      </c>
      <c r="R97" t="str">
        <f ca="1">IFERROR(IF(0=LEN(ReferenceData!$R$97),"",ReferenceData!$R$97),"")</f>
        <v/>
      </c>
      <c r="S97" t="str">
        <f ca="1">IFERROR(IF(0=LEN(ReferenceData!$S$97),"",ReferenceData!$S$97),"")</f>
        <v/>
      </c>
      <c r="T97" t="str">
        <f ca="1">IFERROR(IF(0=LEN(ReferenceData!$T$97),"",ReferenceData!$T$97),"")</f>
        <v/>
      </c>
      <c r="U97" t="str">
        <f ca="1">IFERROR(IF(0=LEN(ReferenceData!$U$97),"",ReferenceData!$U$97),"")</f>
        <v/>
      </c>
      <c r="V97" t="str">
        <f ca="1">IFERROR(IF(0=LEN(ReferenceData!$V$97),"",ReferenceData!$V$97),"")</f>
        <v/>
      </c>
      <c r="W97" t="str">
        <f ca="1">IFERROR(IF(0=LEN(ReferenceData!$W$97),"",ReferenceData!$W$97),"")</f>
        <v/>
      </c>
      <c r="X97" t="str">
        <f ca="1">IFERROR(IF(0=LEN(ReferenceData!$X$97),"",ReferenceData!$X$97),"")</f>
        <v/>
      </c>
      <c r="Y97" t="str">
        <f ca="1">IFERROR(IF(0=LEN(ReferenceData!$Y$97),"",ReferenceData!$Y$97),"")</f>
        <v/>
      </c>
      <c r="Z97" t="str">
        <f ca="1">IFERROR(IF(0=LEN(ReferenceData!$Z$97),"",ReferenceData!$Z$97),"")</f>
        <v/>
      </c>
      <c r="AA97" t="str">
        <f ca="1">IFERROR(IF(0=LEN(ReferenceData!$AA$97),"",ReferenceData!$AA$97),"")</f>
        <v/>
      </c>
      <c r="AB97" t="str">
        <f ca="1">IFERROR(IF(0=LEN(ReferenceData!$AB$97),"",ReferenceData!$AB$97),"")</f>
        <v/>
      </c>
      <c r="AC97" t="str">
        <f ca="1">IFERROR(IF(0=LEN(ReferenceData!$AC$97),"",ReferenceData!$AC$97),"")</f>
        <v/>
      </c>
      <c r="AD97" t="str">
        <f ca="1">IFERROR(IF(0=LEN(ReferenceData!$AD$97),"",ReferenceData!$AD$97),"")</f>
        <v/>
      </c>
      <c r="AE97" t="str">
        <f ca="1">IFERROR(IF(0=LEN(ReferenceData!$AE$97),"",ReferenceData!$AE$97),"")</f>
        <v/>
      </c>
      <c r="AF97" t="str">
        <f ca="1">IFERROR(IF(0=LEN(ReferenceData!$AF$97),"",ReferenceData!$AF$97),"")</f>
        <v/>
      </c>
      <c r="AG97" t="str">
        <f ca="1">IFERROR(IF(0=LEN(ReferenceData!$AG$97),"",ReferenceData!$AG$97),"")</f>
        <v/>
      </c>
      <c r="AH97" t="str">
        <f ca="1">IFERROR(IF(0=LEN(ReferenceData!$AH$97),"",ReferenceData!$AH$97),"")</f>
        <v/>
      </c>
      <c r="AI97" t="str">
        <f ca="1">IFERROR(IF(0=LEN(ReferenceData!$AI$97),"",ReferenceData!$AI$97),"")</f>
        <v/>
      </c>
      <c r="AJ97" t="str">
        <f ca="1">IFERROR(IF(0=LEN(ReferenceData!$AJ$97),"",ReferenceData!$AJ$97),"")</f>
        <v/>
      </c>
      <c r="AK97" t="str">
        <f ca="1">IFERROR(IF(0=LEN(ReferenceData!$AK$97),"",ReferenceData!$AK$97),"")</f>
        <v/>
      </c>
      <c r="AL97" t="str">
        <f ca="1">IFERROR(IF(0=LEN(ReferenceData!$AL$97),"",ReferenceData!$AL$97),"")</f>
        <v/>
      </c>
      <c r="AM97" t="str">
        <f ca="1">IFERROR(IF(0=LEN(ReferenceData!$AM$97),"",ReferenceData!$AM$97),"")</f>
        <v/>
      </c>
      <c r="AN97" t="str">
        <f ca="1">IFERROR(IF(0=LEN(ReferenceData!$AN$97),"",ReferenceData!$AN$97),"")</f>
        <v/>
      </c>
      <c r="AO97" t="str">
        <f ca="1">IFERROR(IF(0=LEN(ReferenceData!$AO$97),"",ReferenceData!$AO$97),"")</f>
        <v/>
      </c>
      <c r="AP97" t="str">
        <f ca="1">IFERROR(IF(0=LEN(ReferenceData!$AP$97),"",ReferenceData!$AP$97),"")</f>
        <v/>
      </c>
      <c r="AQ97" t="str">
        <f ca="1">IFERROR(IF(0=LEN(ReferenceData!$AQ$97),"",ReferenceData!$AQ$97),"")</f>
        <v/>
      </c>
      <c r="AR97" t="str">
        <f ca="1">IFERROR(IF(0=LEN(ReferenceData!$AR$97),"",ReferenceData!$AR$97),"")</f>
        <v/>
      </c>
      <c r="AS97" t="str">
        <f ca="1">IFERROR(IF(0=LEN(ReferenceData!$AS$97),"",ReferenceData!$AS$97),"")</f>
        <v/>
      </c>
      <c r="AT97" t="str">
        <f ca="1">IFERROR(IF(0=LEN(ReferenceData!$AT$97),"",ReferenceData!$AT$97),"")</f>
        <v/>
      </c>
      <c r="AU97" t="str">
        <f ca="1">IFERROR(IF(0=LEN(ReferenceData!$AU$97),"",ReferenceData!$AU$97),"")</f>
        <v/>
      </c>
      <c r="AV97" t="str">
        <f ca="1">IFERROR(IF(0=LEN(ReferenceData!$AV$97),"",ReferenceData!$AV$97),"")</f>
        <v/>
      </c>
      <c r="AW97" t="str">
        <f ca="1">IFERROR(IF(0=LEN(ReferenceData!$AW$97),"",ReferenceData!$AW$97),"")</f>
        <v/>
      </c>
      <c r="AX97" t="str">
        <f ca="1">IFERROR(IF(0=LEN(ReferenceData!$AX$97),"",ReferenceData!$AX$97),"")</f>
        <v/>
      </c>
      <c r="AY97" t="str">
        <f ca="1">IFERROR(IF(0=LEN(ReferenceData!$AY$97),"",ReferenceData!$AY$97),"")</f>
        <v/>
      </c>
      <c r="AZ97" t="str">
        <f ca="1">IFERROR(IF(0=LEN(ReferenceData!$AZ$97),"",ReferenceData!$AZ$97),"")</f>
        <v/>
      </c>
      <c r="BA97" t="str">
        <f ca="1">IFERROR(IF(0=LEN(ReferenceData!$BA$97),"",ReferenceData!$BA$97),"")</f>
        <v/>
      </c>
      <c r="BB97" t="str">
        <f ca="1">IFERROR(IF(0=LEN(ReferenceData!$BB$97),"",ReferenceData!$BB$97),"")</f>
        <v/>
      </c>
      <c r="BC97" t="str">
        <f ca="1">IFERROR(IF(0=LEN(ReferenceData!$BC$97),"",ReferenceData!$BC$97),"")</f>
        <v/>
      </c>
      <c r="BD97" t="str">
        <f ca="1">IFERROR(IF(0=LEN(ReferenceData!$BD$97),"",ReferenceData!$BD$97),"")</f>
        <v/>
      </c>
      <c r="BE97" t="str">
        <f ca="1">IFERROR(IF(0=LEN(ReferenceData!$BE$97),"",ReferenceData!$BE$97),"")</f>
        <v/>
      </c>
      <c r="BF97" t="str">
        <f ca="1">IFERROR(IF(0=LEN(ReferenceData!$BF$97),"",ReferenceData!$BF$97),"")</f>
        <v/>
      </c>
      <c r="BG97" t="str">
        <f ca="1">IFERROR(IF(0=LEN(ReferenceData!$BG$97),"",ReferenceData!$BG$97),"")</f>
        <v/>
      </c>
      <c r="BH97" t="str">
        <f ca="1">IFERROR(IF(0=LEN(ReferenceData!$BH$97),"",ReferenceData!$BH$97),"")</f>
        <v/>
      </c>
      <c r="BI97" t="str">
        <f ca="1">IFERROR(IF(0=LEN(ReferenceData!$BI$97),"",ReferenceData!$BI$97),"")</f>
        <v/>
      </c>
      <c r="BJ97" t="str">
        <f ca="1">IFERROR(IF(0=LEN(ReferenceData!$BJ$97),"",ReferenceData!$BJ$97),"")</f>
        <v/>
      </c>
      <c r="BK97" t="str">
        <f ca="1">IFERROR(IF(0=LEN(ReferenceData!$BK$97),"",ReferenceData!$BK$97),"")</f>
        <v/>
      </c>
      <c r="BL97" t="str">
        <f ca="1">IFERROR(IF(0=LEN(ReferenceData!$BL$97),"",ReferenceData!$BL$97),"")</f>
        <v/>
      </c>
      <c r="BM97" t="str">
        <f ca="1">IFERROR(IF(0=LEN(ReferenceData!$BM$97),"",ReferenceData!$BM$97),"")</f>
        <v/>
      </c>
    </row>
    <row r="98" spans="1:65">
      <c r="A98" t="str">
        <f>IFERROR(IF(0=LEN(ReferenceData!$A$98),"",ReferenceData!$A$98),"")</f>
        <v xml:space="preserve">    SVB Financial Group</v>
      </c>
      <c r="B98" t="str">
        <f>IFERROR(IF(0=LEN(ReferenceData!$B$98),"",ReferenceData!$B$98),"")</f>
        <v>SIVBQ US Equity</v>
      </c>
      <c r="C98" t="str">
        <f>IFERROR(IF(0=LEN(ReferenceData!$C$98),"",ReferenceData!$C$98),"")</f>
        <v>BS961</v>
      </c>
      <c r="D98" t="str">
        <f>IFERROR(IF(0=LEN(ReferenceData!$D$98),"",ReferenceData!$D$98),"")</f>
        <v>BS_RES_MTG_OWNED_SERVICED_PORT</v>
      </c>
      <c r="E98" t="str">
        <f>IFERROR(IF(0=LEN(ReferenceData!$E$98),"",ReferenceData!$E$98),"")</f>
        <v>Dynamic</v>
      </c>
      <c r="F98" t="str">
        <f ca="1">IFERROR(IF(0=LEN(ReferenceData!$F$98),"",ReferenceData!$F$98),"")</f>
        <v/>
      </c>
      <c r="G98" t="str">
        <f ca="1">IFERROR(IF(0=LEN(ReferenceData!$G$98),"",ReferenceData!$G$98),"")</f>
        <v/>
      </c>
      <c r="H98" t="str">
        <f ca="1">IFERROR(IF(0=LEN(ReferenceData!$H$98),"",ReferenceData!$H$98),"")</f>
        <v/>
      </c>
      <c r="I98" t="str">
        <f ca="1">IFERROR(IF(0=LEN(ReferenceData!$I$98),"",ReferenceData!$I$98),"")</f>
        <v/>
      </c>
      <c r="J98" t="str">
        <f ca="1">IFERROR(IF(0=LEN(ReferenceData!$J$98),"",ReferenceData!$J$98),"")</f>
        <v/>
      </c>
      <c r="K98" t="str">
        <f ca="1">IFERROR(IF(0=LEN(ReferenceData!$K$98),"",ReferenceData!$K$98),"")</f>
        <v/>
      </c>
      <c r="L98" t="str">
        <f ca="1">IFERROR(IF(0=LEN(ReferenceData!$L$98),"",ReferenceData!$L$98),"")</f>
        <v/>
      </c>
      <c r="M98" t="str">
        <f ca="1">IFERROR(IF(0=LEN(ReferenceData!$M$98),"",ReferenceData!$M$98),"")</f>
        <v/>
      </c>
      <c r="N98" t="str">
        <f ca="1">IFERROR(IF(0=LEN(ReferenceData!$N$98),"",ReferenceData!$N$98),"")</f>
        <v/>
      </c>
      <c r="O98" t="str">
        <f ca="1">IFERROR(IF(0=LEN(ReferenceData!$O$98),"",ReferenceData!$O$98),"")</f>
        <v/>
      </c>
      <c r="P98" t="str">
        <f ca="1">IFERROR(IF(0=LEN(ReferenceData!$P$98),"",ReferenceData!$P$98),"")</f>
        <v/>
      </c>
      <c r="Q98" t="str">
        <f ca="1">IFERROR(IF(0=LEN(ReferenceData!$Q$98),"",ReferenceData!$Q$98),"")</f>
        <v/>
      </c>
      <c r="R98" t="str">
        <f ca="1">IFERROR(IF(0=LEN(ReferenceData!$R$98),"",ReferenceData!$R$98),"")</f>
        <v/>
      </c>
      <c r="S98" t="str">
        <f ca="1">IFERROR(IF(0=LEN(ReferenceData!$S$98),"",ReferenceData!$S$98),"")</f>
        <v/>
      </c>
      <c r="T98" t="str">
        <f ca="1">IFERROR(IF(0=LEN(ReferenceData!$T$98),"",ReferenceData!$T$98),"")</f>
        <v/>
      </c>
      <c r="U98" t="str">
        <f ca="1">IFERROR(IF(0=LEN(ReferenceData!$U$98),"",ReferenceData!$U$98),"")</f>
        <v/>
      </c>
      <c r="V98" t="str">
        <f ca="1">IFERROR(IF(0=LEN(ReferenceData!$V$98),"",ReferenceData!$V$98),"")</f>
        <v/>
      </c>
      <c r="W98" t="str">
        <f ca="1">IFERROR(IF(0=LEN(ReferenceData!$W$98),"",ReferenceData!$W$98),"")</f>
        <v/>
      </c>
      <c r="X98" t="str">
        <f ca="1">IFERROR(IF(0=LEN(ReferenceData!$X$98),"",ReferenceData!$X$98),"")</f>
        <v/>
      </c>
      <c r="Y98" t="str">
        <f ca="1">IFERROR(IF(0=LEN(ReferenceData!$Y$98),"",ReferenceData!$Y$98),"")</f>
        <v/>
      </c>
      <c r="Z98" t="str">
        <f ca="1">IFERROR(IF(0=LEN(ReferenceData!$Z$98),"",ReferenceData!$Z$98),"")</f>
        <v/>
      </c>
      <c r="AA98" t="str">
        <f ca="1">IFERROR(IF(0=LEN(ReferenceData!$AA$98),"",ReferenceData!$AA$98),"")</f>
        <v/>
      </c>
      <c r="AB98" t="str">
        <f ca="1">IFERROR(IF(0=LEN(ReferenceData!$AB$98),"",ReferenceData!$AB$98),"")</f>
        <v/>
      </c>
      <c r="AC98" t="str">
        <f ca="1">IFERROR(IF(0=LEN(ReferenceData!$AC$98),"",ReferenceData!$AC$98),"")</f>
        <v/>
      </c>
      <c r="AD98" t="str">
        <f ca="1">IFERROR(IF(0=LEN(ReferenceData!$AD$98),"",ReferenceData!$AD$98),"")</f>
        <v/>
      </c>
      <c r="AE98" t="str">
        <f ca="1">IFERROR(IF(0=LEN(ReferenceData!$AE$98),"",ReferenceData!$AE$98),"")</f>
        <v/>
      </c>
      <c r="AF98" t="str">
        <f ca="1">IFERROR(IF(0=LEN(ReferenceData!$AF$98),"",ReferenceData!$AF$98),"")</f>
        <v/>
      </c>
      <c r="AG98" t="str">
        <f ca="1">IFERROR(IF(0=LEN(ReferenceData!$AG$98),"",ReferenceData!$AG$98),"")</f>
        <v/>
      </c>
      <c r="AH98" t="str">
        <f ca="1">IFERROR(IF(0=LEN(ReferenceData!$AH$98),"",ReferenceData!$AH$98),"")</f>
        <v/>
      </c>
      <c r="AI98" t="str">
        <f ca="1">IFERROR(IF(0=LEN(ReferenceData!$AI$98),"",ReferenceData!$AI$98),"")</f>
        <v/>
      </c>
      <c r="AJ98" t="str">
        <f ca="1">IFERROR(IF(0=LEN(ReferenceData!$AJ$98),"",ReferenceData!$AJ$98),"")</f>
        <v/>
      </c>
      <c r="AK98" t="str">
        <f ca="1">IFERROR(IF(0=LEN(ReferenceData!$AK$98),"",ReferenceData!$AK$98),"")</f>
        <v/>
      </c>
      <c r="AL98" t="str">
        <f ca="1">IFERROR(IF(0=LEN(ReferenceData!$AL$98),"",ReferenceData!$AL$98),"")</f>
        <v/>
      </c>
      <c r="AM98" t="str">
        <f ca="1">IFERROR(IF(0=LEN(ReferenceData!$AM$98),"",ReferenceData!$AM$98),"")</f>
        <v/>
      </c>
      <c r="AN98" t="str">
        <f ca="1">IFERROR(IF(0=LEN(ReferenceData!$AN$98),"",ReferenceData!$AN$98),"")</f>
        <v/>
      </c>
      <c r="AO98" t="str">
        <f ca="1">IFERROR(IF(0=LEN(ReferenceData!$AO$98),"",ReferenceData!$AO$98),"")</f>
        <v/>
      </c>
      <c r="AP98" t="str">
        <f ca="1">IFERROR(IF(0=LEN(ReferenceData!$AP$98),"",ReferenceData!$AP$98),"")</f>
        <v/>
      </c>
      <c r="AQ98" t="str">
        <f ca="1">IFERROR(IF(0=LEN(ReferenceData!$AQ$98),"",ReferenceData!$AQ$98),"")</f>
        <v/>
      </c>
      <c r="AR98" t="str">
        <f ca="1">IFERROR(IF(0=LEN(ReferenceData!$AR$98),"",ReferenceData!$AR$98),"")</f>
        <v/>
      </c>
      <c r="AS98" t="str">
        <f ca="1">IFERROR(IF(0=LEN(ReferenceData!$AS$98),"",ReferenceData!$AS$98),"")</f>
        <v/>
      </c>
      <c r="AT98" t="str">
        <f ca="1">IFERROR(IF(0=LEN(ReferenceData!$AT$98),"",ReferenceData!$AT$98),"")</f>
        <v/>
      </c>
      <c r="AU98" t="str">
        <f ca="1">IFERROR(IF(0=LEN(ReferenceData!$AU$98),"",ReferenceData!$AU$98),"")</f>
        <v/>
      </c>
      <c r="AV98" t="str">
        <f ca="1">IFERROR(IF(0=LEN(ReferenceData!$AV$98),"",ReferenceData!$AV$98),"")</f>
        <v/>
      </c>
      <c r="AW98" t="str">
        <f ca="1">IFERROR(IF(0=LEN(ReferenceData!$AW$98),"",ReferenceData!$AW$98),"")</f>
        <v/>
      </c>
      <c r="AX98" t="str">
        <f ca="1">IFERROR(IF(0=LEN(ReferenceData!$AX$98),"",ReferenceData!$AX$98),"")</f>
        <v/>
      </c>
      <c r="AY98" t="str">
        <f ca="1">IFERROR(IF(0=LEN(ReferenceData!$AY$98),"",ReferenceData!$AY$98),"")</f>
        <v/>
      </c>
      <c r="AZ98" t="str">
        <f ca="1">IFERROR(IF(0=LEN(ReferenceData!$AZ$98),"",ReferenceData!$AZ$98),"")</f>
        <v/>
      </c>
      <c r="BA98" t="str">
        <f ca="1">IFERROR(IF(0=LEN(ReferenceData!$BA$98),"",ReferenceData!$BA$98),"")</f>
        <v/>
      </c>
      <c r="BB98" t="str">
        <f ca="1">IFERROR(IF(0=LEN(ReferenceData!$BB$98),"",ReferenceData!$BB$98),"")</f>
        <v/>
      </c>
      <c r="BC98" t="str">
        <f ca="1">IFERROR(IF(0=LEN(ReferenceData!$BC$98),"",ReferenceData!$BC$98),"")</f>
        <v/>
      </c>
      <c r="BD98" t="str">
        <f ca="1">IFERROR(IF(0=LEN(ReferenceData!$BD$98),"",ReferenceData!$BD$98),"")</f>
        <v/>
      </c>
      <c r="BE98" t="str">
        <f ca="1">IFERROR(IF(0=LEN(ReferenceData!$BE$98),"",ReferenceData!$BE$98),"")</f>
        <v/>
      </c>
      <c r="BF98" t="str">
        <f ca="1">IFERROR(IF(0=LEN(ReferenceData!$BF$98),"",ReferenceData!$BF$98),"")</f>
        <v/>
      </c>
      <c r="BG98" t="str">
        <f ca="1">IFERROR(IF(0=LEN(ReferenceData!$BG$98),"",ReferenceData!$BG$98),"")</f>
        <v/>
      </c>
      <c r="BH98" t="str">
        <f ca="1">IFERROR(IF(0=LEN(ReferenceData!$BH$98),"",ReferenceData!$BH$98),"")</f>
        <v/>
      </c>
      <c r="BI98" t="str">
        <f ca="1">IFERROR(IF(0=LEN(ReferenceData!$BI$98),"",ReferenceData!$BI$98),"")</f>
        <v/>
      </c>
      <c r="BJ98" t="str">
        <f ca="1">IFERROR(IF(0=LEN(ReferenceData!$BJ$98),"",ReferenceData!$BJ$98),"")</f>
        <v/>
      </c>
      <c r="BK98" t="str">
        <f ca="1">IFERROR(IF(0=LEN(ReferenceData!$BK$98),"",ReferenceData!$BK$98),"")</f>
        <v/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>
      <c r="A99" t="str">
        <f>IFERROR(IF(0=LEN(ReferenceData!$A$99),"",ReferenceData!$A$99),"")</f>
        <v xml:space="preserve">    Truist Financial Corp</v>
      </c>
      <c r="B99" t="str">
        <f>IFERROR(IF(0=LEN(ReferenceData!$B$99),"",ReferenceData!$B$99),"")</f>
        <v>TFC US Equity</v>
      </c>
      <c r="C99" t="str">
        <f>IFERROR(IF(0=LEN(ReferenceData!$C$99),"",ReferenceData!$C$99),"")</f>
        <v>BS961</v>
      </c>
      <c r="D99" t="str">
        <f>IFERROR(IF(0=LEN(ReferenceData!$D$99),"",ReferenceData!$D$99),"")</f>
        <v>BS_RES_MTG_OWNED_SERVICED_PORT</v>
      </c>
      <c r="E99" t="str">
        <f>IFERROR(IF(0=LEN(ReferenceData!$E$99),"",ReferenceData!$E$99),"")</f>
        <v>Dynamic</v>
      </c>
      <c r="F99">
        <f ca="1">IFERROR(IF(0=LEN(ReferenceData!$F$99),"",ReferenceData!$F$99),"")</f>
        <v>54937</v>
      </c>
      <c r="G99">
        <f ca="1">IFERROR(IF(0=LEN(ReferenceData!$G$99),"",ReferenceData!$G$99),"")</f>
        <v>54281</v>
      </c>
      <c r="H99">
        <f ca="1">IFERROR(IF(0=LEN(ReferenceData!$H$99),"",ReferenceData!$H$99),"")</f>
        <v>54903</v>
      </c>
      <c r="I99">
        <f ca="1">IFERROR(IF(0=LEN(ReferenceData!$I$99),"",ReferenceData!$I$99),"")</f>
        <v>55255</v>
      </c>
      <c r="J99">
        <f ca="1">IFERROR(IF(0=LEN(ReferenceData!$J$99),"",ReferenceData!$J$99),"")</f>
        <v>55669</v>
      </c>
      <c r="K99">
        <f ca="1">IFERROR(IF(0=LEN(ReferenceData!$K$99),"",ReferenceData!$K$99),"")</f>
        <v>56679</v>
      </c>
      <c r="L99">
        <f ca="1">IFERROR(IF(0=LEN(ReferenceData!$L$99),"",ReferenceData!$L$99),"")</f>
        <v>57147</v>
      </c>
      <c r="M99">
        <f ca="1">IFERROR(IF(0=LEN(ReferenceData!$M$99),"",ReferenceData!$M$99),"")</f>
        <v>57493</v>
      </c>
      <c r="N99">
        <f ca="1">IFERROR(IF(0=LEN(ReferenceData!$N$99),"",ReferenceData!$N$99),"")</f>
        <v>56982</v>
      </c>
      <c r="O99">
        <f ca="1">IFERROR(IF(0=LEN(ReferenceData!$O$99),"",ReferenceData!$O$99),"")</f>
        <v>56786</v>
      </c>
      <c r="P99">
        <f ca="1">IFERROR(IF(0=LEN(ReferenceData!$P$99),"",ReferenceData!$P$99),"")</f>
        <v>53341</v>
      </c>
      <c r="Q99">
        <f ca="1">IFERROR(IF(0=LEN(ReferenceData!$Q$99),"",ReferenceData!$Q$99),"")</f>
        <v>50927</v>
      </c>
      <c r="R99">
        <f ca="1">IFERROR(IF(0=LEN(ReferenceData!$R$99),"",ReferenceData!$R$99),"")</f>
        <v>50716</v>
      </c>
      <c r="S99">
        <f ca="1">IFERROR(IF(0=LEN(ReferenceData!$S$99),"",ReferenceData!$S$99),"")</f>
        <v>50427</v>
      </c>
      <c r="T99">
        <f ca="1">IFERROR(IF(0=LEN(ReferenceData!$T$99),"",ReferenceData!$T$99),"")</f>
        <v>46031</v>
      </c>
      <c r="U99">
        <f ca="1">IFERROR(IF(0=LEN(ReferenceData!$U$99),"",ReferenceData!$U$99),"")</f>
        <v>48800</v>
      </c>
      <c r="V99">
        <f ca="1">IFERROR(IF(0=LEN(ReferenceData!$V$99),"",ReferenceData!$V$99),"")</f>
        <v>50693</v>
      </c>
      <c r="W99">
        <f ca="1">IFERROR(IF(0=LEN(ReferenceData!$W$99),"",ReferenceData!$W$99),"")</f>
        <v>54587</v>
      </c>
      <c r="X99">
        <f ca="1">IFERROR(IF(0=LEN(ReferenceData!$X$99),"",ReferenceData!$X$99),"")</f>
        <v>56365</v>
      </c>
      <c r="Y99">
        <f ca="1">IFERROR(IF(0=LEN(ReferenceData!$Y$99),"",ReferenceData!$Y$99),"")</f>
        <v>56325</v>
      </c>
      <c r="Z99">
        <f ca="1">IFERROR(IF(0=LEN(ReferenceData!$Z$99),"",ReferenceData!$Z$99),"")</f>
        <v>60211</v>
      </c>
      <c r="AA99">
        <f ca="1">IFERROR(IF(0=LEN(ReferenceData!$AA$99),"",ReferenceData!$AA$99),"")</f>
        <v>29122</v>
      </c>
      <c r="AB99">
        <f ca="1">IFERROR(IF(0=LEN(ReferenceData!$AB$99),"",ReferenceData!$AB$99),"")</f>
        <v>32852</v>
      </c>
      <c r="AC99">
        <f ca="1">IFERROR(IF(0=LEN(ReferenceData!$AC$99),"",ReferenceData!$AC$99),"")</f>
        <v>31861</v>
      </c>
      <c r="AD99">
        <f ca="1">IFERROR(IF(0=LEN(ReferenceData!$AD$99),"",ReferenceData!$AD$99),"")</f>
        <v>31335</v>
      </c>
      <c r="AE99">
        <f ca="1">IFERROR(IF(0=LEN(ReferenceData!$AE$99),"",ReferenceData!$AE$99),"")</f>
        <v>31137</v>
      </c>
      <c r="AF99">
        <f ca="1">IFERROR(IF(0=LEN(ReferenceData!$AF$99),"",ReferenceData!$AF$99),"")</f>
        <v>30261</v>
      </c>
      <c r="AG99">
        <f ca="1">IFERROR(IF(0=LEN(ReferenceData!$AG$99),"",ReferenceData!$AG$99),"")</f>
        <v>29081</v>
      </c>
      <c r="AH99">
        <f ca="1">IFERROR(IF(0=LEN(ReferenceData!$AH$99),"",ReferenceData!$AH$99),"")</f>
        <v>29300</v>
      </c>
      <c r="AI99">
        <f ca="1">IFERROR(IF(0=LEN(ReferenceData!$AI$99),"",ReferenceData!$AI$99),"")</f>
        <v>29345</v>
      </c>
      <c r="AJ99">
        <f ca="1">IFERROR(IF(0=LEN(ReferenceData!$AJ$99),"",ReferenceData!$AJ$99),"")</f>
        <v>30067</v>
      </c>
      <c r="AK99">
        <f ca="1">IFERROR(IF(0=LEN(ReferenceData!$AK$99),"",ReferenceData!$AK$99),"")</f>
        <v>30396</v>
      </c>
      <c r="AL99">
        <f ca="1">IFERROR(IF(0=LEN(ReferenceData!$AL$99),"",ReferenceData!$AL$99),"")</f>
        <v>31314</v>
      </c>
      <c r="AM99">
        <f ca="1">IFERROR(IF(0=LEN(ReferenceData!$AM$99),"",ReferenceData!$AM$99),"")</f>
        <v>32303</v>
      </c>
      <c r="AN99">
        <f ca="1">IFERROR(IF(0=LEN(ReferenceData!$AN$99),"",ReferenceData!$AN$99),"")</f>
        <v>32647</v>
      </c>
      <c r="AO99">
        <f ca="1">IFERROR(IF(0=LEN(ReferenceData!$AO$99),"",ReferenceData!$AO$99),"")</f>
        <v>30962</v>
      </c>
      <c r="AP99">
        <f ca="1">IFERROR(IF(0=LEN(ReferenceData!$AP$99),"",ReferenceData!$AP$99),"")</f>
        <v>31037</v>
      </c>
      <c r="AQ99">
        <f ca="1">IFERROR(IF(0=LEN(ReferenceData!$AQ$99),"",ReferenceData!$AQ$99),"")</f>
        <v>32134</v>
      </c>
      <c r="AR99">
        <f ca="1">IFERROR(IF(0=LEN(ReferenceData!$AR$99),"",ReferenceData!$AR$99),"")</f>
        <v>31302</v>
      </c>
      <c r="AS99">
        <f ca="1">IFERROR(IF(0=LEN(ReferenceData!$AS$99),"",ReferenceData!$AS$99),"")</f>
        <v>31887</v>
      </c>
      <c r="AT99">
        <f ca="1">IFERROR(IF(0=LEN(ReferenceData!$AT$99),"",ReferenceData!$AT$99),"")</f>
        <v>32027</v>
      </c>
      <c r="AU99">
        <f ca="1">IFERROR(IF(0=LEN(ReferenceData!$AU$99),"",ReferenceData!$AU$99),"")</f>
        <v>33490</v>
      </c>
      <c r="AV99">
        <f ca="1">IFERROR(IF(0=LEN(ReferenceData!$AV$99),"",ReferenceData!$AV$99),"")</f>
        <v>34154</v>
      </c>
      <c r="AW99">
        <f ca="1">IFERROR(IF(0=LEN(ReferenceData!$AW$99),"",ReferenceData!$AW$99),"")</f>
        <v>33703</v>
      </c>
      <c r="AX99">
        <f ca="1">IFERROR(IF(0=LEN(ReferenceData!$AX$99),"",ReferenceData!$AX$99),"")</f>
        <v>25401</v>
      </c>
      <c r="AY99">
        <f ca="1">IFERROR(IF(0=LEN(ReferenceData!$AY$99),"",ReferenceData!$AY$99),"")</f>
        <v>26782</v>
      </c>
      <c r="AZ99">
        <f ca="1">IFERROR(IF(0=LEN(ReferenceData!$AZ$99),"",ReferenceData!$AZ$99),"")</f>
        <v>26211</v>
      </c>
      <c r="BA99">
        <f ca="1">IFERROR(IF(0=LEN(ReferenceData!$BA$99),"",ReferenceData!$BA$99),"")</f>
        <v>26962</v>
      </c>
      <c r="BB99">
        <f ca="1">IFERROR(IF(0=LEN(ReferenceData!$BB$99),"",ReferenceData!$BB$99),"")</f>
        <v>27501</v>
      </c>
      <c r="BC99">
        <f ca="1">IFERROR(IF(0=LEN(ReferenceData!$BC$99),"",ReferenceData!$BC$99),"")</f>
        <v>27194</v>
      </c>
      <c r="BD99">
        <f ca="1">IFERROR(IF(0=LEN(ReferenceData!$BD$99),"",ReferenceData!$BD$99),"")</f>
        <v>26171</v>
      </c>
      <c r="BE99">
        <f ca="1">IFERROR(IF(0=LEN(ReferenceData!$BE$99),"",ReferenceData!$BE$99),"")</f>
        <v>24308</v>
      </c>
      <c r="BF99">
        <f ca="1">IFERROR(IF(0=LEN(ReferenceData!$BF$99),"",ReferenceData!$BF$99),"")</f>
        <v>24574</v>
      </c>
      <c r="BG99">
        <f ca="1">IFERROR(IF(0=LEN(ReferenceData!$BG$99),"",ReferenceData!$BG$99),"")</f>
        <v>22413</v>
      </c>
      <c r="BH99">
        <f ca="1">IFERROR(IF(0=LEN(ReferenceData!$BH$99),"",ReferenceData!$BH$99),"")</f>
        <v>20956</v>
      </c>
      <c r="BI99">
        <f ca="1">IFERROR(IF(0=LEN(ReferenceData!$BI$99),"",ReferenceData!$BI$99),"")</f>
        <v>21271</v>
      </c>
      <c r="BJ99">
        <f ca="1">IFERROR(IF(0=LEN(ReferenceData!$BJ$99),"",ReferenceData!$BJ$99),"")</f>
        <v>21680</v>
      </c>
      <c r="BK99">
        <f ca="1">IFERROR(IF(0=LEN(ReferenceData!$BK$99),"",ReferenceData!$BK$99),"")</f>
        <v>20331</v>
      </c>
      <c r="BL99">
        <f ca="1">IFERROR(IF(0=LEN(ReferenceData!$BL$99),"",ReferenceData!$BL$99),"")</f>
        <v>18621</v>
      </c>
      <c r="BM99" t="str">
        <f ca="1">IFERROR(IF(0=LEN(ReferenceData!$BM$99),"",ReferenceData!$BM$99),"")</f>
        <v/>
      </c>
    </row>
    <row r="100" spans="1:65">
      <c r="A100" t="str">
        <f>IFERROR(IF(0=LEN(ReferenceData!$A$100),"",ReferenceData!$A$100),"")</f>
        <v xml:space="preserve">    US Bancorp</v>
      </c>
      <c r="B100" t="str">
        <f>IFERROR(IF(0=LEN(ReferenceData!$B$100),"",ReferenceData!$B$100),"")</f>
        <v>USB US Equity</v>
      </c>
      <c r="C100" t="str">
        <f>IFERROR(IF(0=LEN(ReferenceData!$C$100),"",ReferenceData!$C$100),"")</f>
        <v>BS961</v>
      </c>
      <c r="D100" t="str">
        <f>IFERROR(IF(0=LEN(ReferenceData!$D$100),"",ReferenceData!$D$100),"")</f>
        <v>BS_RES_MTG_OWNED_SERVICED_PORT</v>
      </c>
      <c r="E100" t="str">
        <f>IFERROR(IF(0=LEN(ReferenceData!$E$100),"",ReferenceData!$E$100),"")</f>
        <v>Dynamic</v>
      </c>
      <c r="F100" t="str">
        <f ca="1">IFERROR(IF(0=LEN(ReferenceData!$F$100),"",ReferenceData!$F$100),"")</f>
        <v/>
      </c>
      <c r="G100" t="str">
        <f ca="1">IFERROR(IF(0=LEN(ReferenceData!$G$100),"",ReferenceData!$G$100),"")</f>
        <v/>
      </c>
      <c r="H100" t="str">
        <f ca="1">IFERROR(IF(0=LEN(ReferenceData!$H$100),"",ReferenceData!$H$100),"")</f>
        <v/>
      </c>
      <c r="I100" t="str">
        <f ca="1">IFERROR(IF(0=LEN(ReferenceData!$I$100),"",ReferenceData!$I$100),"")</f>
        <v/>
      </c>
      <c r="J100" t="str">
        <f ca="1">IFERROR(IF(0=LEN(ReferenceData!$J$100),"",ReferenceData!$J$100),"")</f>
        <v/>
      </c>
      <c r="K100" t="str">
        <f ca="1">IFERROR(IF(0=LEN(ReferenceData!$K$100),"",ReferenceData!$K$100),"")</f>
        <v/>
      </c>
      <c r="L100" t="str">
        <f ca="1">IFERROR(IF(0=LEN(ReferenceData!$L$100),"",ReferenceData!$L$100),"")</f>
        <v/>
      </c>
      <c r="M100" t="str">
        <f ca="1">IFERROR(IF(0=LEN(ReferenceData!$M$100),"",ReferenceData!$M$100),"")</f>
        <v/>
      </c>
      <c r="N100" t="str">
        <f ca="1">IFERROR(IF(0=LEN(ReferenceData!$N$100),"",ReferenceData!$N$100),"")</f>
        <v/>
      </c>
      <c r="O100" t="str">
        <f ca="1">IFERROR(IF(0=LEN(ReferenceData!$O$100),"",ReferenceData!$O$100),"")</f>
        <v/>
      </c>
      <c r="P100" t="str">
        <f ca="1">IFERROR(IF(0=LEN(ReferenceData!$P$100),"",ReferenceData!$P$100),"")</f>
        <v/>
      </c>
      <c r="Q100" t="str">
        <f ca="1">IFERROR(IF(0=LEN(ReferenceData!$Q$100),"",ReferenceData!$Q$100),"")</f>
        <v/>
      </c>
      <c r="R100" t="str">
        <f ca="1">IFERROR(IF(0=LEN(ReferenceData!$R$100),"",ReferenceData!$R$100),"")</f>
        <v/>
      </c>
      <c r="S100" t="str">
        <f ca="1">IFERROR(IF(0=LEN(ReferenceData!$S$100),"",ReferenceData!$S$100),"")</f>
        <v/>
      </c>
      <c r="T100" t="str">
        <f ca="1">IFERROR(IF(0=LEN(ReferenceData!$T$100),"",ReferenceData!$T$100),"")</f>
        <v/>
      </c>
      <c r="U100" t="str">
        <f ca="1">IFERROR(IF(0=LEN(ReferenceData!$U$100),"",ReferenceData!$U$100),"")</f>
        <v/>
      </c>
      <c r="V100" t="str">
        <f ca="1">IFERROR(IF(0=LEN(ReferenceData!$V$100),"",ReferenceData!$V$100),"")</f>
        <v/>
      </c>
      <c r="W100" t="str">
        <f ca="1">IFERROR(IF(0=LEN(ReferenceData!$W$100),"",ReferenceData!$W$100),"")</f>
        <v/>
      </c>
      <c r="X100" t="str">
        <f ca="1">IFERROR(IF(0=LEN(ReferenceData!$X$100),"",ReferenceData!$X$100),"")</f>
        <v/>
      </c>
      <c r="Y100" t="str">
        <f ca="1">IFERROR(IF(0=LEN(ReferenceData!$Y$100),"",ReferenceData!$Y$100),"")</f>
        <v/>
      </c>
      <c r="Z100" t="str">
        <f ca="1">IFERROR(IF(0=LEN(ReferenceData!$Z$100),"",ReferenceData!$Z$100),"")</f>
        <v/>
      </c>
      <c r="AA100" t="str">
        <f ca="1">IFERROR(IF(0=LEN(ReferenceData!$AA$100),"",ReferenceData!$AA$100),"")</f>
        <v/>
      </c>
      <c r="AB100" t="str">
        <f ca="1">IFERROR(IF(0=LEN(ReferenceData!$AB$100),"",ReferenceData!$AB$100),"")</f>
        <v/>
      </c>
      <c r="AC100" t="str">
        <f ca="1">IFERROR(IF(0=LEN(ReferenceData!$AC$100),"",ReferenceData!$AC$100),"")</f>
        <v/>
      </c>
      <c r="AD100" t="str">
        <f ca="1">IFERROR(IF(0=LEN(ReferenceData!$AD$100),"",ReferenceData!$AD$100),"")</f>
        <v/>
      </c>
      <c r="AE100" t="str">
        <f ca="1">IFERROR(IF(0=LEN(ReferenceData!$AE$100),"",ReferenceData!$AE$100),"")</f>
        <v/>
      </c>
      <c r="AF100" t="str">
        <f ca="1">IFERROR(IF(0=LEN(ReferenceData!$AF$100),"",ReferenceData!$AF$100),"")</f>
        <v/>
      </c>
      <c r="AG100" t="str">
        <f ca="1">IFERROR(IF(0=LEN(ReferenceData!$AG$100),"",ReferenceData!$AG$100),"")</f>
        <v/>
      </c>
      <c r="AH100" t="str">
        <f ca="1">IFERROR(IF(0=LEN(ReferenceData!$AH$100),"",ReferenceData!$AH$100),"")</f>
        <v/>
      </c>
      <c r="AI100" t="str">
        <f ca="1">IFERROR(IF(0=LEN(ReferenceData!$AI$100),"",ReferenceData!$AI$100),"")</f>
        <v/>
      </c>
      <c r="AJ100" t="str">
        <f ca="1">IFERROR(IF(0=LEN(ReferenceData!$AJ$100),"",ReferenceData!$AJ$100),"")</f>
        <v/>
      </c>
      <c r="AK100" t="str">
        <f ca="1">IFERROR(IF(0=LEN(ReferenceData!$AK$100),"",ReferenceData!$AK$100),"")</f>
        <v/>
      </c>
      <c r="AL100" t="str">
        <f ca="1">IFERROR(IF(0=LEN(ReferenceData!$AL$100),"",ReferenceData!$AL$100),"")</f>
        <v/>
      </c>
      <c r="AM100" t="str">
        <f ca="1">IFERROR(IF(0=LEN(ReferenceData!$AM$100),"",ReferenceData!$AM$100),"")</f>
        <v/>
      </c>
      <c r="AN100" t="str">
        <f ca="1">IFERROR(IF(0=LEN(ReferenceData!$AN$100),"",ReferenceData!$AN$100),"")</f>
        <v/>
      </c>
      <c r="AO100" t="str">
        <f ca="1">IFERROR(IF(0=LEN(ReferenceData!$AO$100),"",ReferenceData!$AO$100),"")</f>
        <v/>
      </c>
      <c r="AP100" t="str">
        <f ca="1">IFERROR(IF(0=LEN(ReferenceData!$AP$100),"",ReferenceData!$AP$100),"")</f>
        <v/>
      </c>
      <c r="AQ100" t="str">
        <f ca="1">IFERROR(IF(0=LEN(ReferenceData!$AQ$100),"",ReferenceData!$AQ$100),"")</f>
        <v/>
      </c>
      <c r="AR100" t="str">
        <f ca="1">IFERROR(IF(0=LEN(ReferenceData!$AR$100),"",ReferenceData!$AR$100),"")</f>
        <v/>
      </c>
      <c r="AS100" t="str">
        <f ca="1">IFERROR(IF(0=LEN(ReferenceData!$AS$100),"",ReferenceData!$AS$100),"")</f>
        <v/>
      </c>
      <c r="AT100" t="str">
        <f ca="1">IFERROR(IF(0=LEN(ReferenceData!$AT$100),"",ReferenceData!$AT$100),"")</f>
        <v/>
      </c>
      <c r="AU100" t="str">
        <f ca="1">IFERROR(IF(0=LEN(ReferenceData!$AU$100),"",ReferenceData!$AU$100),"")</f>
        <v/>
      </c>
      <c r="AV100" t="str">
        <f ca="1">IFERROR(IF(0=LEN(ReferenceData!$AV$100),"",ReferenceData!$AV$100),"")</f>
        <v/>
      </c>
      <c r="AW100" t="str">
        <f ca="1">IFERROR(IF(0=LEN(ReferenceData!$AW$100),"",ReferenceData!$AW$100),"")</f>
        <v/>
      </c>
      <c r="AX100" t="str">
        <f ca="1">IFERROR(IF(0=LEN(ReferenceData!$AX$100),"",ReferenceData!$AX$100),"")</f>
        <v/>
      </c>
      <c r="AY100" t="str">
        <f ca="1">IFERROR(IF(0=LEN(ReferenceData!$AY$100),"",ReferenceData!$AY$100),"")</f>
        <v/>
      </c>
      <c r="AZ100" t="str">
        <f ca="1">IFERROR(IF(0=LEN(ReferenceData!$AZ$100),"",ReferenceData!$AZ$100),"")</f>
        <v/>
      </c>
      <c r="BA100" t="str">
        <f ca="1">IFERROR(IF(0=LEN(ReferenceData!$BA$100),"",ReferenceData!$BA$100),"")</f>
        <v/>
      </c>
      <c r="BB100" t="str">
        <f ca="1">IFERROR(IF(0=LEN(ReferenceData!$BB$100),"",ReferenceData!$BB$100),"")</f>
        <v/>
      </c>
      <c r="BC100" t="str">
        <f ca="1">IFERROR(IF(0=LEN(ReferenceData!$BC$100),"",ReferenceData!$BC$100),"")</f>
        <v/>
      </c>
      <c r="BD100" t="str">
        <f ca="1">IFERROR(IF(0=LEN(ReferenceData!$BD$100),"",ReferenceData!$BD$100),"")</f>
        <v/>
      </c>
      <c r="BE100" t="str">
        <f ca="1">IFERROR(IF(0=LEN(ReferenceData!$BE$100),"",ReferenceData!$BE$100),"")</f>
        <v/>
      </c>
      <c r="BF100" t="str">
        <f ca="1">IFERROR(IF(0=LEN(ReferenceData!$BF$100),"",ReferenceData!$BF$100),"")</f>
        <v/>
      </c>
      <c r="BG100" t="str">
        <f ca="1">IFERROR(IF(0=LEN(ReferenceData!$BG$100),"",ReferenceData!$BG$100),"")</f>
        <v/>
      </c>
      <c r="BH100" t="str">
        <f ca="1">IFERROR(IF(0=LEN(ReferenceData!$BH$100),"",ReferenceData!$BH$100),"")</f>
        <v/>
      </c>
      <c r="BI100" t="str">
        <f ca="1">IFERROR(IF(0=LEN(ReferenceData!$BI$100),"",ReferenceData!$BI$100),"")</f>
        <v/>
      </c>
      <c r="BJ100" t="str">
        <f ca="1">IFERROR(IF(0=LEN(ReferenceData!$BJ$100),"",ReferenceData!$BJ$100),"")</f>
        <v/>
      </c>
      <c r="BK100" t="str">
        <f ca="1">IFERROR(IF(0=LEN(ReferenceData!$BK$100),"",ReferenceData!$BK$100),"")</f>
        <v/>
      </c>
      <c r="BL100" t="str">
        <f ca="1">IFERROR(IF(0=LEN(ReferenceData!$BL$100),"",ReferenceData!$BL$100),"")</f>
        <v/>
      </c>
      <c r="BM100" t="str">
        <f ca="1">IFERROR(IF(0=LEN(ReferenceData!$BM$100),"",ReferenceData!$BM$100),"")</f>
        <v/>
      </c>
    </row>
    <row r="101" spans="1:65">
      <c r="A101" t="str">
        <f>IFERROR(IF(0=LEN(ReferenceData!$A$101),"",ReferenceData!$A$101),"")</f>
        <v xml:space="preserve">    Wells Fargo &amp; Co</v>
      </c>
      <c r="B101" t="str">
        <f>IFERROR(IF(0=LEN(ReferenceData!$B$101),"",ReferenceData!$B$101),"")</f>
        <v>WFC US Equity</v>
      </c>
      <c r="C101" t="str">
        <f>IFERROR(IF(0=LEN(ReferenceData!$C$101),"",ReferenceData!$C$101),"")</f>
        <v>BS961</v>
      </c>
      <c r="D101" t="str">
        <f>IFERROR(IF(0=LEN(ReferenceData!$D$101),"",ReferenceData!$D$101),"")</f>
        <v>BS_RES_MTG_OWNED_SERVICED_PORT</v>
      </c>
      <c r="E101" t="str">
        <f>IFERROR(IF(0=LEN(ReferenceData!$E$101),"",ReferenceData!$E$101),"")</f>
        <v>Dynamic</v>
      </c>
      <c r="F101">
        <f ca="1">IFERROR(IF(0=LEN(ReferenceData!$F$101),"",ReferenceData!$F$101),"")</f>
        <v>252000</v>
      </c>
      <c r="G101">
        <f ca="1">IFERROR(IF(0=LEN(ReferenceData!$G$101),"",ReferenceData!$G$101),"")</f>
        <v>254000</v>
      </c>
      <c r="H101">
        <f ca="1">IFERROR(IF(0=LEN(ReferenceData!$H$101),"",ReferenceData!$H$101),"")</f>
        <v>256000</v>
      </c>
      <c r="I101">
        <f ca="1">IFERROR(IF(0=LEN(ReferenceData!$I$101),"",ReferenceData!$I$101),"")</f>
        <v>259000</v>
      </c>
      <c r="J101">
        <f ca="1">IFERROR(IF(0=LEN(ReferenceData!$J$101),"",ReferenceData!$J$101),"")</f>
        <v>262000</v>
      </c>
      <c r="K101">
        <f ca="1">IFERROR(IF(0=LEN(ReferenceData!$K$101),"",ReferenceData!$K$101),"")</f>
        <v>265000</v>
      </c>
      <c r="L101">
        <f ca="1">IFERROR(IF(0=LEN(ReferenceData!$L$101),"",ReferenceData!$L$101),"")</f>
        <v>267000</v>
      </c>
      <c r="M101">
        <f ca="1">IFERROR(IF(0=LEN(ReferenceData!$M$101),"",ReferenceData!$M$101),"")</f>
        <v>270000</v>
      </c>
      <c r="N101">
        <f ca="1">IFERROR(IF(0=LEN(ReferenceData!$N$101),"",ReferenceData!$N$101),"")</f>
        <v>273000</v>
      </c>
      <c r="O101">
        <f ca="1">IFERROR(IF(0=LEN(ReferenceData!$O$101),"",ReferenceData!$O$101),"")</f>
        <v>274000</v>
      </c>
      <c r="P101">
        <f ca="1">IFERROR(IF(0=LEN(ReferenceData!$P$101),"",ReferenceData!$P$101),"")</f>
        <v>274000</v>
      </c>
      <c r="Q101">
        <f ca="1">IFERROR(IF(0=LEN(ReferenceData!$Q$101),"",ReferenceData!$Q$101),"")</f>
        <v>273000</v>
      </c>
      <c r="R101">
        <f ca="1">IFERROR(IF(0=LEN(ReferenceData!$R$101),"",ReferenceData!$R$101),"")</f>
        <v>276000</v>
      </c>
      <c r="S101">
        <f ca="1">IFERROR(IF(0=LEN(ReferenceData!$S$101),"",ReferenceData!$S$101),"")</f>
        <v>280000</v>
      </c>
      <c r="T101">
        <f ca="1">IFERROR(IF(0=LEN(ReferenceData!$T$101),"",ReferenceData!$T$101),"")</f>
        <v>284000</v>
      </c>
      <c r="U101">
        <f ca="1">IFERROR(IF(0=LEN(ReferenceData!$U$101),"",ReferenceData!$U$101),"")</f>
        <v>302000</v>
      </c>
      <c r="V101">
        <f ca="1">IFERROR(IF(0=LEN(ReferenceData!$V$101),"",ReferenceData!$V$101),"")</f>
        <v>323000</v>
      </c>
      <c r="W101">
        <f ca="1">IFERROR(IF(0=LEN(ReferenceData!$W$101),"",ReferenceData!$W$101),"")</f>
        <v>342000</v>
      </c>
      <c r="X101">
        <f ca="1">IFERROR(IF(0=LEN(ReferenceData!$X$101),"",ReferenceData!$X$101),"")</f>
        <v>335000</v>
      </c>
      <c r="Y101">
        <f ca="1">IFERROR(IF(0=LEN(ReferenceData!$Y$101),"",ReferenceData!$Y$101),"")</f>
        <v>341000</v>
      </c>
      <c r="Z101">
        <f ca="1">IFERROR(IF(0=LEN(ReferenceData!$Z$101),"",ReferenceData!$Z$101),"")</f>
        <v>343000</v>
      </c>
      <c r="AA101">
        <f ca="1">IFERROR(IF(0=LEN(ReferenceData!$AA$101),"",ReferenceData!$AA$101),"")</f>
        <v>346000</v>
      </c>
      <c r="AB101">
        <f ca="1">IFERROR(IF(0=LEN(ReferenceData!$AB$101),"",ReferenceData!$AB$101),"")</f>
        <v>340000</v>
      </c>
      <c r="AC101">
        <f ca="1">IFERROR(IF(0=LEN(ReferenceData!$AC$101),"",ReferenceData!$AC$101),"")</f>
        <v>331000</v>
      </c>
      <c r="AD101">
        <f ca="1">IFERROR(IF(0=LEN(ReferenceData!$AD$101),"",ReferenceData!$AD$101),"")</f>
        <v>334</v>
      </c>
      <c r="AE101">
        <f ca="1">IFERROR(IF(0=LEN(ReferenceData!$AE$101),"",ReferenceData!$AE$101),"")</f>
        <v>337000</v>
      </c>
      <c r="AF101">
        <f ca="1">IFERROR(IF(0=LEN(ReferenceData!$AF$101),"",ReferenceData!$AF$101),"")</f>
        <v>340000</v>
      </c>
      <c r="AG101">
        <f ca="1">IFERROR(IF(0=LEN(ReferenceData!$AG$101),"",ReferenceData!$AG$101),"")</f>
        <v>337000</v>
      </c>
      <c r="AH101">
        <f ca="1">IFERROR(IF(0=LEN(ReferenceData!$AH$101),"",ReferenceData!$AH$101),"")</f>
        <v>342000</v>
      </c>
      <c r="AI101">
        <f ca="1">IFERROR(IF(0=LEN(ReferenceData!$AI$101),"",ReferenceData!$AI$101),"")</f>
        <v>340000</v>
      </c>
      <c r="AJ101">
        <f ca="1">IFERROR(IF(0=LEN(ReferenceData!$AJ$101),"",ReferenceData!$AJ$101),"")</f>
        <v>343000</v>
      </c>
      <c r="AK101">
        <f ca="1">IFERROR(IF(0=LEN(ReferenceData!$AK$101),"",ReferenceData!$AK$101),"")</f>
        <v>335000</v>
      </c>
      <c r="AL101">
        <f ca="1">IFERROR(IF(0=LEN(ReferenceData!$AL$101),"",ReferenceData!$AL$101),"")</f>
        <v>347000</v>
      </c>
      <c r="AM101">
        <f ca="1">IFERROR(IF(0=LEN(ReferenceData!$AM$101),"",ReferenceData!$AM$101),"")</f>
        <v>352000</v>
      </c>
      <c r="AN101">
        <f ca="1">IFERROR(IF(0=LEN(ReferenceData!$AN$101),"",ReferenceData!$AN$101),"")</f>
        <v>349000</v>
      </c>
      <c r="AO101">
        <f ca="1">IFERROR(IF(0=LEN(ReferenceData!$AO$101),"",ReferenceData!$AO$101),"")</f>
        <v>342000</v>
      </c>
      <c r="AP101">
        <f ca="1">IFERROR(IF(0=LEN(ReferenceData!$AP$101),"",ReferenceData!$AP$101),"")</f>
        <v>345000</v>
      </c>
      <c r="AQ101">
        <f ca="1">IFERROR(IF(0=LEN(ReferenceData!$AQ$101),"",ReferenceData!$AQ$101),"")</f>
        <v>346000</v>
      </c>
      <c r="AR101">
        <f ca="1">IFERROR(IF(0=LEN(ReferenceData!$AR$101),"",ReferenceData!$AR$101),"")</f>
        <v>347000</v>
      </c>
      <c r="AS101">
        <f ca="1">IFERROR(IF(0=LEN(ReferenceData!$AS$101),"",ReferenceData!$AS$101),"")</f>
        <v>344000</v>
      </c>
      <c r="AT101">
        <f ca="1">IFERROR(IF(0=LEN(ReferenceData!$AT$101),"",ReferenceData!$AT$101),"")</f>
        <v>342000</v>
      </c>
      <c r="AU101">
        <f ca="1">IFERROR(IF(0=LEN(ReferenceData!$AU$101),"",ReferenceData!$AU$101),"")</f>
        <v>342000</v>
      </c>
      <c r="AV101">
        <f ca="1">IFERROR(IF(0=LEN(ReferenceData!$AV$101),"",ReferenceData!$AV$101),"")</f>
        <v>341000</v>
      </c>
      <c r="AW101">
        <f ca="1">IFERROR(IF(0=LEN(ReferenceData!$AW$101),"",ReferenceData!$AW$101),"")</f>
        <v>337000</v>
      </c>
      <c r="AX101">
        <f ca="1">IFERROR(IF(0=LEN(ReferenceData!$AX$101),"",ReferenceData!$AX$101),"")</f>
        <v>338000</v>
      </c>
      <c r="AY101">
        <f ca="1">IFERROR(IF(0=LEN(ReferenceData!$AY$101),"",ReferenceData!$AY$101),"")</f>
        <v>344000</v>
      </c>
      <c r="AZ101">
        <f ca="1">IFERROR(IF(0=LEN(ReferenceData!$AZ$101),"",ReferenceData!$AZ$101),"")</f>
        <v>358000</v>
      </c>
      <c r="BA101">
        <f ca="1">IFERROR(IF(0=LEN(ReferenceData!$BA$101),"",ReferenceData!$BA$101),"")</f>
        <v>367000</v>
      </c>
      <c r="BB101">
        <f ca="1">IFERROR(IF(0=LEN(ReferenceData!$BB$101),"",ReferenceData!$BB$101),"")</f>
        <v>368000</v>
      </c>
      <c r="BC101">
        <f ca="1">IFERROR(IF(0=LEN(ReferenceData!$BC$101),"",ReferenceData!$BC$101),"")</f>
        <v>364000</v>
      </c>
      <c r="BD101">
        <f ca="1">IFERROR(IF(0=LEN(ReferenceData!$BD$101),"",ReferenceData!$BD$101),"")</f>
        <v>357000</v>
      </c>
      <c r="BE101">
        <f ca="1">IFERROR(IF(0=LEN(ReferenceData!$BE$101),"",ReferenceData!$BE$101),"")</f>
        <v>350000</v>
      </c>
      <c r="BF101">
        <f ca="1">IFERROR(IF(0=LEN(ReferenceData!$BF$101),"",ReferenceData!$BF$101),"")</f>
        <v>358000</v>
      </c>
      <c r="BG101">
        <f ca="1">IFERROR(IF(0=LEN(ReferenceData!$BG$101),"",ReferenceData!$BG$101),"")</f>
        <v>349000</v>
      </c>
      <c r="BH101">
        <f ca="1">IFERROR(IF(0=LEN(ReferenceData!$BH$101),"",ReferenceData!$BH$101),"")</f>
        <v>338000</v>
      </c>
      <c r="BI101">
        <f ca="1">IFERROR(IF(0=LEN(ReferenceData!$BI$101),"",ReferenceData!$BI$101),"")</f>
        <v>346000</v>
      </c>
      <c r="BJ101">
        <f ca="1">IFERROR(IF(0=LEN(ReferenceData!$BJ$101),"",ReferenceData!$BJ$101),"")</f>
        <v>371000</v>
      </c>
      <c r="BK101">
        <f ca="1">IFERROR(IF(0=LEN(ReferenceData!$BK$101),"",ReferenceData!$BK$101),"")</f>
        <v>365000</v>
      </c>
      <c r="BL101">
        <f ca="1">IFERROR(IF(0=LEN(ReferenceData!$BL$101),"",ReferenceData!$BL$101),"")</f>
        <v>365000</v>
      </c>
      <c r="BM101" t="str">
        <f ca="1">IFERROR(IF(0=LEN(ReferenceData!$BM$101),"",ReferenceData!$BM$101),"")</f>
        <v/>
      </c>
    </row>
    <row r="102" spans="1:65">
      <c r="A102" t="str">
        <f>IFERROR(IF(0=LEN(ReferenceData!$A$102),"",ReferenceData!$A$102),"")</f>
        <v xml:space="preserve">    Western Alliance Bancorp</v>
      </c>
      <c r="B102" t="str">
        <f>IFERROR(IF(0=LEN(ReferenceData!$B$102),"",ReferenceData!$B$102),"")</f>
        <v>WAL US Equity</v>
      </c>
      <c r="C102" t="str">
        <f>IFERROR(IF(0=LEN(ReferenceData!$C$102),"",ReferenceData!$C$102),"")</f>
        <v>BS961</v>
      </c>
      <c r="D102" t="str">
        <f>IFERROR(IF(0=LEN(ReferenceData!$D$102),"",ReferenceData!$D$102),"")</f>
        <v>BS_RES_MTG_OWNED_SERVICED_PORT</v>
      </c>
      <c r="E102" t="str">
        <f>IFERROR(IF(0=LEN(ReferenceData!$E$102),"",ReferenceData!$E$102),"")</f>
        <v>Dynamic</v>
      </c>
      <c r="F102" t="str">
        <f ca="1">IFERROR(IF(0=LEN(ReferenceData!$F$102),"",ReferenceData!$F$102),"")</f>
        <v/>
      </c>
      <c r="G102" t="str">
        <f ca="1">IFERROR(IF(0=LEN(ReferenceData!$G$102),"",ReferenceData!$G$102),"")</f>
        <v/>
      </c>
      <c r="H102" t="str">
        <f ca="1">IFERROR(IF(0=LEN(ReferenceData!$H$102),"",ReferenceData!$H$102),"")</f>
        <v/>
      </c>
      <c r="I102" t="str">
        <f ca="1">IFERROR(IF(0=LEN(ReferenceData!$I$102),"",ReferenceData!$I$102),"")</f>
        <v/>
      </c>
      <c r="J102" t="str">
        <f ca="1">IFERROR(IF(0=LEN(ReferenceData!$J$102),"",ReferenceData!$J$102),"")</f>
        <v/>
      </c>
      <c r="K102" t="str">
        <f ca="1">IFERROR(IF(0=LEN(ReferenceData!$K$102),"",ReferenceData!$K$102),"")</f>
        <v/>
      </c>
      <c r="L102" t="str">
        <f ca="1">IFERROR(IF(0=LEN(ReferenceData!$L$102),"",ReferenceData!$L$102),"")</f>
        <v/>
      </c>
      <c r="M102" t="str">
        <f ca="1">IFERROR(IF(0=LEN(ReferenceData!$M$102),"",ReferenceData!$M$102),"")</f>
        <v/>
      </c>
      <c r="N102" t="str">
        <f ca="1">IFERROR(IF(0=LEN(ReferenceData!$N$102),"",ReferenceData!$N$102),"")</f>
        <v/>
      </c>
      <c r="O102" t="str">
        <f ca="1">IFERROR(IF(0=LEN(ReferenceData!$O$102),"",ReferenceData!$O$102),"")</f>
        <v/>
      </c>
      <c r="P102" t="str">
        <f ca="1">IFERROR(IF(0=LEN(ReferenceData!$P$102),"",ReferenceData!$P$102),"")</f>
        <v/>
      </c>
      <c r="Q102" t="str">
        <f ca="1">IFERROR(IF(0=LEN(ReferenceData!$Q$102),"",ReferenceData!$Q$102),"")</f>
        <v/>
      </c>
      <c r="R102" t="str">
        <f ca="1">IFERROR(IF(0=LEN(ReferenceData!$R$102),"",ReferenceData!$R$102),"")</f>
        <v/>
      </c>
      <c r="S102" t="str">
        <f ca="1">IFERROR(IF(0=LEN(ReferenceData!$S$102),"",ReferenceData!$S$102),"")</f>
        <v/>
      </c>
      <c r="T102" t="str">
        <f ca="1">IFERROR(IF(0=LEN(ReferenceData!$T$102),"",ReferenceData!$T$102),"")</f>
        <v/>
      </c>
      <c r="U102" t="str">
        <f ca="1">IFERROR(IF(0=LEN(ReferenceData!$U$102),"",ReferenceData!$U$102),"")</f>
        <v/>
      </c>
      <c r="V102" t="str">
        <f ca="1">IFERROR(IF(0=LEN(ReferenceData!$V$102),"",ReferenceData!$V$102),"")</f>
        <v/>
      </c>
      <c r="W102" t="str">
        <f ca="1">IFERROR(IF(0=LEN(ReferenceData!$W$102),"",ReferenceData!$W$102),"")</f>
        <v/>
      </c>
      <c r="X102" t="str">
        <f ca="1">IFERROR(IF(0=LEN(ReferenceData!$X$102),"",ReferenceData!$X$102),"")</f>
        <v/>
      </c>
      <c r="Y102" t="str">
        <f ca="1">IFERROR(IF(0=LEN(ReferenceData!$Y$102),"",ReferenceData!$Y$102),"")</f>
        <v/>
      </c>
      <c r="Z102" t="str">
        <f ca="1">IFERROR(IF(0=LEN(ReferenceData!$Z$102),"",ReferenceData!$Z$102),"")</f>
        <v/>
      </c>
      <c r="AA102" t="str">
        <f ca="1">IFERROR(IF(0=LEN(ReferenceData!$AA$102),"",ReferenceData!$AA$102),"")</f>
        <v/>
      </c>
      <c r="AB102" t="str">
        <f ca="1">IFERROR(IF(0=LEN(ReferenceData!$AB$102),"",ReferenceData!$AB$102),"")</f>
        <v/>
      </c>
      <c r="AC102" t="str">
        <f ca="1">IFERROR(IF(0=LEN(ReferenceData!$AC$102),"",ReferenceData!$AC$102),"")</f>
        <v/>
      </c>
      <c r="AD102" t="str">
        <f ca="1">IFERROR(IF(0=LEN(ReferenceData!$AD$102),"",ReferenceData!$AD$102),"")</f>
        <v/>
      </c>
      <c r="AE102" t="str">
        <f ca="1">IFERROR(IF(0=LEN(ReferenceData!$AE$102),"",ReferenceData!$AE$102),"")</f>
        <v/>
      </c>
      <c r="AF102" t="str">
        <f ca="1">IFERROR(IF(0=LEN(ReferenceData!$AF$102),"",ReferenceData!$AF$102),"")</f>
        <v/>
      </c>
      <c r="AG102" t="str">
        <f ca="1">IFERROR(IF(0=LEN(ReferenceData!$AG$102),"",ReferenceData!$AG$102),"")</f>
        <v/>
      </c>
      <c r="AH102" t="str">
        <f ca="1">IFERROR(IF(0=LEN(ReferenceData!$AH$102),"",ReferenceData!$AH$102),"")</f>
        <v/>
      </c>
      <c r="AI102" t="str">
        <f ca="1">IFERROR(IF(0=LEN(ReferenceData!$AI$102),"",ReferenceData!$AI$102),"")</f>
        <v/>
      </c>
      <c r="AJ102" t="str">
        <f ca="1">IFERROR(IF(0=LEN(ReferenceData!$AJ$102),"",ReferenceData!$AJ$102),"")</f>
        <v/>
      </c>
      <c r="AK102" t="str">
        <f ca="1">IFERROR(IF(0=LEN(ReferenceData!$AK$102),"",ReferenceData!$AK$102),"")</f>
        <v/>
      </c>
      <c r="AL102" t="str">
        <f ca="1">IFERROR(IF(0=LEN(ReferenceData!$AL$102),"",ReferenceData!$AL$102),"")</f>
        <v/>
      </c>
      <c r="AM102" t="str">
        <f ca="1">IFERROR(IF(0=LEN(ReferenceData!$AM$102),"",ReferenceData!$AM$102),"")</f>
        <v/>
      </c>
      <c r="AN102" t="str">
        <f ca="1">IFERROR(IF(0=LEN(ReferenceData!$AN$102),"",ReferenceData!$AN$102),"")</f>
        <v/>
      </c>
      <c r="AO102" t="str">
        <f ca="1">IFERROR(IF(0=LEN(ReferenceData!$AO$102),"",ReferenceData!$AO$102),"")</f>
        <v/>
      </c>
      <c r="AP102" t="str">
        <f ca="1">IFERROR(IF(0=LEN(ReferenceData!$AP$102),"",ReferenceData!$AP$102),"")</f>
        <v/>
      </c>
      <c r="AQ102" t="str">
        <f ca="1">IFERROR(IF(0=LEN(ReferenceData!$AQ$102),"",ReferenceData!$AQ$102),"")</f>
        <v/>
      </c>
      <c r="AR102" t="str">
        <f ca="1">IFERROR(IF(0=LEN(ReferenceData!$AR$102),"",ReferenceData!$AR$102),"")</f>
        <v/>
      </c>
      <c r="AS102" t="str">
        <f ca="1">IFERROR(IF(0=LEN(ReferenceData!$AS$102),"",ReferenceData!$AS$102),"")</f>
        <v/>
      </c>
      <c r="AT102" t="str">
        <f ca="1">IFERROR(IF(0=LEN(ReferenceData!$AT$102),"",ReferenceData!$AT$102),"")</f>
        <v/>
      </c>
      <c r="AU102" t="str">
        <f ca="1">IFERROR(IF(0=LEN(ReferenceData!$AU$102),"",ReferenceData!$AU$102),"")</f>
        <v/>
      </c>
      <c r="AV102" t="str">
        <f ca="1">IFERROR(IF(0=LEN(ReferenceData!$AV$102),"",ReferenceData!$AV$102),"")</f>
        <v/>
      </c>
      <c r="AW102" t="str">
        <f ca="1">IFERROR(IF(0=LEN(ReferenceData!$AW$102),"",ReferenceData!$AW$102),"")</f>
        <v/>
      </c>
      <c r="AX102" t="str">
        <f ca="1">IFERROR(IF(0=LEN(ReferenceData!$AX$102),"",ReferenceData!$AX$102),"")</f>
        <v/>
      </c>
      <c r="AY102" t="str">
        <f ca="1">IFERROR(IF(0=LEN(ReferenceData!$AY$102),"",ReferenceData!$AY$102),"")</f>
        <v/>
      </c>
      <c r="AZ102" t="str">
        <f ca="1">IFERROR(IF(0=LEN(ReferenceData!$AZ$102),"",ReferenceData!$AZ$102),"")</f>
        <v/>
      </c>
      <c r="BA102" t="str">
        <f ca="1">IFERROR(IF(0=LEN(ReferenceData!$BA$102),"",ReferenceData!$BA$102),"")</f>
        <v/>
      </c>
      <c r="BB102" t="str">
        <f ca="1">IFERROR(IF(0=LEN(ReferenceData!$BB$102),"",ReferenceData!$BB$102),"")</f>
        <v/>
      </c>
      <c r="BC102" t="str">
        <f ca="1">IFERROR(IF(0=LEN(ReferenceData!$BC$102),"",ReferenceData!$BC$102),"")</f>
        <v/>
      </c>
      <c r="BD102" t="str">
        <f ca="1">IFERROR(IF(0=LEN(ReferenceData!$BD$102),"",ReferenceData!$BD$102),"")</f>
        <v/>
      </c>
      <c r="BE102" t="str">
        <f ca="1">IFERROR(IF(0=LEN(ReferenceData!$BE$102),"",ReferenceData!$BE$102),"")</f>
        <v/>
      </c>
      <c r="BF102" t="str">
        <f ca="1">IFERROR(IF(0=LEN(ReferenceData!$BF$102),"",ReferenceData!$BF$102),"")</f>
        <v/>
      </c>
      <c r="BG102" t="str">
        <f ca="1">IFERROR(IF(0=LEN(ReferenceData!$BG$102),"",ReferenceData!$BG$102),"")</f>
        <v/>
      </c>
      <c r="BH102" t="str">
        <f ca="1">IFERROR(IF(0=LEN(ReferenceData!$BH$102),"",ReferenceData!$BH$102),"")</f>
        <v/>
      </c>
      <c r="BI102" t="str">
        <f ca="1">IFERROR(IF(0=LEN(ReferenceData!$BI$102),"",ReferenceData!$BI$102),"")</f>
        <v/>
      </c>
      <c r="BJ102" t="str">
        <f ca="1">IFERROR(IF(0=LEN(ReferenceData!$BJ$102),"",ReferenceData!$BJ$102),"")</f>
        <v/>
      </c>
      <c r="BK102" t="str">
        <f ca="1">IFERROR(IF(0=LEN(ReferenceData!$BK$102),"",ReferenceData!$BK$102),"")</f>
        <v/>
      </c>
      <c r="BL102" t="str">
        <f ca="1">IFERROR(IF(0=LEN(ReferenceData!$BL$102),"",ReferenceData!$BL$102),"")</f>
        <v/>
      </c>
      <c r="BM102" t="str">
        <f ca="1">IFERROR(IF(0=LEN(ReferenceData!$BM$102),"",ReferenceData!$BM$102),"")</f>
        <v/>
      </c>
    </row>
    <row r="103" spans="1:65">
      <c r="A103" t="str">
        <f>IFERROR(IF(0=LEN(ReferenceData!$A$103),"",ReferenceData!$A$103),"")</f>
        <v xml:space="preserve">    Zions Bancorp NA</v>
      </c>
      <c r="B103" t="str">
        <f>IFERROR(IF(0=LEN(ReferenceData!$B$103),"",ReferenceData!$B$103),"")</f>
        <v>ZION US Equity</v>
      </c>
      <c r="C103" t="str">
        <f>IFERROR(IF(0=LEN(ReferenceData!$C$103),"",ReferenceData!$C$103),"")</f>
        <v>BS961</v>
      </c>
      <c r="D103" t="str">
        <f>IFERROR(IF(0=LEN(ReferenceData!$D$103),"",ReferenceData!$D$103),"")</f>
        <v>BS_RES_MTG_OWNED_SERVICED_PORT</v>
      </c>
      <c r="E103" t="str">
        <f>IFERROR(IF(0=LEN(ReferenceData!$E$103),"",ReferenceData!$E$103),"")</f>
        <v>Dynamic</v>
      </c>
      <c r="F103" t="str">
        <f ca="1">IFERROR(IF(0=LEN(ReferenceData!$F$103),"",ReferenceData!$F$103),"")</f>
        <v/>
      </c>
      <c r="G103" t="str">
        <f ca="1">IFERROR(IF(0=LEN(ReferenceData!$G$103),"",ReferenceData!$G$103),"")</f>
        <v/>
      </c>
      <c r="H103" t="str">
        <f ca="1">IFERROR(IF(0=LEN(ReferenceData!$H$103),"",ReferenceData!$H$103),"")</f>
        <v/>
      </c>
      <c r="I103" t="str">
        <f ca="1">IFERROR(IF(0=LEN(ReferenceData!$I$103),"",ReferenceData!$I$103),"")</f>
        <v/>
      </c>
      <c r="J103" t="str">
        <f ca="1">IFERROR(IF(0=LEN(ReferenceData!$J$103),"",ReferenceData!$J$103),"")</f>
        <v/>
      </c>
      <c r="K103" t="str">
        <f ca="1">IFERROR(IF(0=LEN(ReferenceData!$K$103),"",ReferenceData!$K$103),"")</f>
        <v/>
      </c>
      <c r="L103" t="str">
        <f ca="1">IFERROR(IF(0=LEN(ReferenceData!$L$103),"",ReferenceData!$L$103),"")</f>
        <v/>
      </c>
      <c r="M103" t="str">
        <f ca="1">IFERROR(IF(0=LEN(ReferenceData!$M$103),"",ReferenceData!$M$103),"")</f>
        <v/>
      </c>
      <c r="N103" t="str">
        <f ca="1">IFERROR(IF(0=LEN(ReferenceData!$N$103),"",ReferenceData!$N$103),"")</f>
        <v/>
      </c>
      <c r="O103" t="str">
        <f ca="1">IFERROR(IF(0=LEN(ReferenceData!$O$103),"",ReferenceData!$O$103),"")</f>
        <v/>
      </c>
      <c r="P103" t="str">
        <f ca="1">IFERROR(IF(0=LEN(ReferenceData!$P$103),"",ReferenceData!$P$103),"")</f>
        <v/>
      </c>
      <c r="Q103" t="str">
        <f ca="1">IFERROR(IF(0=LEN(ReferenceData!$Q$103),"",ReferenceData!$Q$103),"")</f>
        <v/>
      </c>
      <c r="R103" t="str">
        <f ca="1">IFERROR(IF(0=LEN(ReferenceData!$R$103),"",ReferenceData!$R$103),"")</f>
        <v/>
      </c>
      <c r="S103" t="str">
        <f ca="1">IFERROR(IF(0=LEN(ReferenceData!$S$103),"",ReferenceData!$S$103),"")</f>
        <v/>
      </c>
      <c r="T103" t="str">
        <f ca="1">IFERROR(IF(0=LEN(ReferenceData!$T$103),"",ReferenceData!$T$103),"")</f>
        <v/>
      </c>
      <c r="U103" t="str">
        <f ca="1">IFERROR(IF(0=LEN(ReferenceData!$U$103),"",ReferenceData!$U$103),"")</f>
        <v/>
      </c>
      <c r="V103" t="str">
        <f ca="1">IFERROR(IF(0=LEN(ReferenceData!$V$103),"",ReferenceData!$V$103),"")</f>
        <v/>
      </c>
      <c r="W103" t="str">
        <f ca="1">IFERROR(IF(0=LEN(ReferenceData!$W$103),"",ReferenceData!$W$103),"")</f>
        <v/>
      </c>
      <c r="X103" t="str">
        <f ca="1">IFERROR(IF(0=LEN(ReferenceData!$X$103),"",ReferenceData!$X$103),"")</f>
        <v/>
      </c>
      <c r="Y103" t="str">
        <f ca="1">IFERROR(IF(0=LEN(ReferenceData!$Y$103),"",ReferenceData!$Y$103),"")</f>
        <v/>
      </c>
      <c r="Z103" t="str">
        <f ca="1">IFERROR(IF(0=LEN(ReferenceData!$Z$103),"",ReferenceData!$Z$103),"")</f>
        <v/>
      </c>
      <c r="AA103" t="str">
        <f ca="1">IFERROR(IF(0=LEN(ReferenceData!$AA$103),"",ReferenceData!$AA$103),"")</f>
        <v/>
      </c>
      <c r="AB103" t="str">
        <f ca="1">IFERROR(IF(0=LEN(ReferenceData!$AB$103),"",ReferenceData!$AB$103),"")</f>
        <v/>
      </c>
      <c r="AC103" t="str">
        <f ca="1">IFERROR(IF(0=LEN(ReferenceData!$AC$103),"",ReferenceData!$AC$103),"")</f>
        <v/>
      </c>
      <c r="AD103" t="str">
        <f ca="1">IFERROR(IF(0=LEN(ReferenceData!$AD$103),"",ReferenceData!$AD$103),"")</f>
        <v/>
      </c>
      <c r="AE103" t="str">
        <f ca="1">IFERROR(IF(0=LEN(ReferenceData!$AE$103),"",ReferenceData!$AE$103),"")</f>
        <v/>
      </c>
      <c r="AF103" t="str">
        <f ca="1">IFERROR(IF(0=LEN(ReferenceData!$AF$103),"",ReferenceData!$AF$103),"")</f>
        <v/>
      </c>
      <c r="AG103" t="str">
        <f ca="1">IFERROR(IF(0=LEN(ReferenceData!$AG$103),"",ReferenceData!$AG$103),"")</f>
        <v/>
      </c>
      <c r="AH103" t="str">
        <f ca="1">IFERROR(IF(0=LEN(ReferenceData!$AH$103),"",ReferenceData!$AH$103),"")</f>
        <v/>
      </c>
      <c r="AI103" t="str">
        <f ca="1">IFERROR(IF(0=LEN(ReferenceData!$AI$103),"",ReferenceData!$AI$103),"")</f>
        <v/>
      </c>
      <c r="AJ103" t="str">
        <f ca="1">IFERROR(IF(0=LEN(ReferenceData!$AJ$103),"",ReferenceData!$AJ$103),"")</f>
        <v/>
      </c>
      <c r="AK103" t="str">
        <f ca="1">IFERROR(IF(0=LEN(ReferenceData!$AK$103),"",ReferenceData!$AK$103),"")</f>
        <v/>
      </c>
      <c r="AL103" t="str">
        <f ca="1">IFERROR(IF(0=LEN(ReferenceData!$AL$103),"",ReferenceData!$AL$103),"")</f>
        <v/>
      </c>
      <c r="AM103" t="str">
        <f ca="1">IFERROR(IF(0=LEN(ReferenceData!$AM$103),"",ReferenceData!$AM$103),"")</f>
        <v/>
      </c>
      <c r="AN103" t="str">
        <f ca="1">IFERROR(IF(0=LEN(ReferenceData!$AN$103),"",ReferenceData!$AN$103),"")</f>
        <v/>
      </c>
      <c r="AO103" t="str">
        <f ca="1">IFERROR(IF(0=LEN(ReferenceData!$AO$103),"",ReferenceData!$AO$103),"")</f>
        <v/>
      </c>
      <c r="AP103" t="str">
        <f ca="1">IFERROR(IF(0=LEN(ReferenceData!$AP$103),"",ReferenceData!$AP$103),"")</f>
        <v/>
      </c>
      <c r="AQ103" t="str">
        <f ca="1">IFERROR(IF(0=LEN(ReferenceData!$AQ$103),"",ReferenceData!$AQ$103),"")</f>
        <v/>
      </c>
      <c r="AR103" t="str">
        <f ca="1">IFERROR(IF(0=LEN(ReferenceData!$AR$103),"",ReferenceData!$AR$103),"")</f>
        <v/>
      </c>
      <c r="AS103" t="str">
        <f ca="1">IFERROR(IF(0=LEN(ReferenceData!$AS$103),"",ReferenceData!$AS$103),"")</f>
        <v/>
      </c>
      <c r="AT103" t="str">
        <f ca="1">IFERROR(IF(0=LEN(ReferenceData!$AT$103),"",ReferenceData!$AT$103),"")</f>
        <v/>
      </c>
      <c r="AU103" t="str">
        <f ca="1">IFERROR(IF(0=LEN(ReferenceData!$AU$103),"",ReferenceData!$AU$103),"")</f>
        <v/>
      </c>
      <c r="AV103" t="str">
        <f ca="1">IFERROR(IF(0=LEN(ReferenceData!$AV$103),"",ReferenceData!$AV$103),"")</f>
        <v/>
      </c>
      <c r="AW103" t="str">
        <f ca="1">IFERROR(IF(0=LEN(ReferenceData!$AW$103),"",ReferenceData!$AW$103),"")</f>
        <v/>
      </c>
      <c r="AX103" t="str">
        <f ca="1">IFERROR(IF(0=LEN(ReferenceData!$AX$103),"",ReferenceData!$AX$103),"")</f>
        <v/>
      </c>
      <c r="AY103" t="str">
        <f ca="1">IFERROR(IF(0=LEN(ReferenceData!$AY$103),"",ReferenceData!$AY$103),"")</f>
        <v/>
      </c>
      <c r="AZ103" t="str">
        <f ca="1">IFERROR(IF(0=LEN(ReferenceData!$AZ$103),"",ReferenceData!$AZ$103),"")</f>
        <v/>
      </c>
      <c r="BA103" t="str">
        <f ca="1">IFERROR(IF(0=LEN(ReferenceData!$BA$103),"",ReferenceData!$BA$103),"")</f>
        <v/>
      </c>
      <c r="BB103" t="str">
        <f ca="1">IFERROR(IF(0=LEN(ReferenceData!$BB$103),"",ReferenceData!$BB$103),"")</f>
        <v/>
      </c>
      <c r="BC103" t="str">
        <f ca="1">IFERROR(IF(0=LEN(ReferenceData!$BC$103),"",ReferenceData!$BC$103),"")</f>
        <v/>
      </c>
      <c r="BD103" t="str">
        <f ca="1">IFERROR(IF(0=LEN(ReferenceData!$BD$103),"",ReferenceData!$BD$103),"")</f>
        <v/>
      </c>
      <c r="BE103" t="str">
        <f ca="1">IFERROR(IF(0=LEN(ReferenceData!$BE$103),"",ReferenceData!$BE$103),"")</f>
        <v/>
      </c>
      <c r="BF103" t="str">
        <f ca="1">IFERROR(IF(0=LEN(ReferenceData!$BF$103),"",ReferenceData!$BF$103),"")</f>
        <v/>
      </c>
      <c r="BG103" t="str">
        <f ca="1">IFERROR(IF(0=LEN(ReferenceData!$BG$103),"",ReferenceData!$BG$103),"")</f>
        <v/>
      </c>
      <c r="BH103" t="str">
        <f ca="1">IFERROR(IF(0=LEN(ReferenceData!$BH$103),"",ReferenceData!$BH$103),"")</f>
        <v/>
      </c>
      <c r="BI103" t="str">
        <f ca="1">IFERROR(IF(0=LEN(ReferenceData!$BI$103),"",ReferenceData!$BI$103),"")</f>
        <v/>
      </c>
      <c r="BJ103" t="str">
        <f ca="1">IFERROR(IF(0=LEN(ReferenceData!$BJ$103),"",ReferenceData!$BJ$103),"")</f>
        <v/>
      </c>
      <c r="BK103" t="str">
        <f ca="1">IFERROR(IF(0=LEN(ReferenceData!$BK$103),"",ReferenceData!$BK$103),"")</f>
        <v/>
      </c>
      <c r="BL103" t="str">
        <f ca="1">IFERROR(IF(0=LEN(ReferenceData!$BL$103),"",ReferenceData!$BL$103),"")</f>
        <v/>
      </c>
      <c r="BM103" t="str">
        <f ca="1">IFERROR(IF(0=LEN(ReferenceData!$BM$103),"",ReferenceData!$BM$103),"")</f>
        <v/>
      </c>
    </row>
    <row r="104" spans="1:65">
      <c r="A104" s="2" t="str">
        <f>IFERROR(IF(0=LEN(ReferenceData!$A$104),"",ReferenceData!$A$104),"")</f>
        <v>Residential Mortgages Serviced for Others</v>
      </c>
      <c r="B104" t="str">
        <f>IFERROR(IF(0=LEN(ReferenceData!$B$104),"",ReferenceData!$B$104),"")</f>
        <v/>
      </c>
      <c r="C104" t="str">
        <f>IFERROR(IF(0=LEN(ReferenceData!$C$104),"",ReferenceData!$C$104),"")</f>
        <v/>
      </c>
      <c r="D104" t="str">
        <f>IFERROR(IF(0=LEN(ReferenceData!$D$104),"",ReferenceData!$D$104),"")</f>
        <v/>
      </c>
      <c r="E104" t="str">
        <f>IFERROR(IF(0=LEN(ReferenceData!$E$104),"",ReferenceData!$E$104),"")</f>
        <v>Sum</v>
      </c>
      <c r="F104">
        <f ca="1">IFERROR(IF(0=LEN(ReferenceData!$F$104),"",ReferenceData!$F$104),"")</f>
        <v>1200693</v>
      </c>
      <c r="G104">
        <f ca="1">IFERROR(IF(0=LEN(ReferenceData!$G$104),"",ReferenceData!$G$104),"")</f>
        <v>1417106</v>
      </c>
      <c r="H104">
        <f ca="1">IFERROR(IF(0=LEN(ReferenceData!$H$104),"",ReferenceData!$H$104),"")</f>
        <v>1435254</v>
      </c>
      <c r="I104">
        <f ca="1">IFERROR(IF(0=LEN(ReferenceData!$I$104),"",ReferenceData!$I$104),"")</f>
        <v>1471003</v>
      </c>
      <c r="J104">
        <f ca="1">IFERROR(IF(0=LEN(ReferenceData!$J$104),"",ReferenceData!$J$104),"")</f>
        <v>1505202</v>
      </c>
      <c r="K104">
        <f ca="1">IFERROR(IF(0=LEN(ReferenceData!$K$104),"",ReferenceData!$K$104),"")</f>
        <v>1542173.1069999998</v>
      </c>
      <c r="L104">
        <f ca="1">IFERROR(IF(0=LEN(ReferenceData!$L$104),"",ReferenceData!$L$104),"")</f>
        <v>1591718</v>
      </c>
      <c r="M104">
        <f ca="1">IFERROR(IF(0=LEN(ReferenceData!$M$104),"",ReferenceData!$M$104),"")</f>
        <v>1591842</v>
      </c>
      <c r="N104">
        <f ca="1">IFERROR(IF(0=LEN(ReferenceData!$N$104),"",ReferenceData!$N$104),"")</f>
        <v>1585580</v>
      </c>
      <c r="O104">
        <f ca="1">IFERROR(IF(0=LEN(ReferenceData!$O$104),"",ReferenceData!$O$104),"")</f>
        <v>1544416</v>
      </c>
      <c r="P104">
        <f ca="1">IFERROR(IF(0=LEN(ReferenceData!$P$104),"",ReferenceData!$P$104),"")</f>
        <v>1514599</v>
      </c>
      <c r="Q104">
        <f ca="1">IFERROR(IF(0=LEN(ReferenceData!$Q$104),"",ReferenceData!$Q$104),"")</f>
        <v>1487222</v>
      </c>
      <c r="R104">
        <f ca="1">IFERROR(IF(0=LEN(ReferenceData!$R$104),"",ReferenceData!$R$104),"")</f>
        <v>1484115</v>
      </c>
      <c r="S104">
        <f ca="1">IFERROR(IF(0=LEN(ReferenceData!$S$104),"",ReferenceData!$S$104),"")</f>
        <v>1499646</v>
      </c>
      <c r="T104">
        <f ca="1">IFERROR(IF(0=LEN(ReferenceData!$T$104),"",ReferenceData!$T$104),"")</f>
        <v>1436603.5</v>
      </c>
      <c r="U104">
        <f ca="1">IFERROR(IF(0=LEN(ReferenceData!$U$104),"",ReferenceData!$U$104),"")</f>
        <v>1491505</v>
      </c>
      <c r="V104">
        <f ca="1">IFERROR(IF(0=LEN(ReferenceData!$V$104),"",ReferenceData!$V$104),"")</f>
        <v>1563967</v>
      </c>
      <c r="W104">
        <f ca="1">IFERROR(IF(0=LEN(ReferenceData!$W$104),"",ReferenceData!$W$104),"")</f>
        <v>1547084</v>
      </c>
      <c r="X104">
        <f ca="1">IFERROR(IF(0=LEN(ReferenceData!$X$104),"",ReferenceData!$X$104),"")</f>
        <v>1737804</v>
      </c>
      <c r="Y104">
        <f ca="1">IFERROR(IF(0=LEN(ReferenceData!$Y$104),"",ReferenceData!$Y$104),"")</f>
        <v>1801275</v>
      </c>
      <c r="Z104">
        <f ca="1">IFERROR(IF(0=LEN(ReferenceData!$Z$104),"",ReferenceData!$Z$104),"")</f>
        <v>1824124</v>
      </c>
      <c r="AA104">
        <f ca="1">IFERROR(IF(0=LEN(ReferenceData!$AA$104),"",ReferenceData!$AA$104),"")</f>
        <v>1658256</v>
      </c>
      <c r="AB104">
        <f ca="1">IFERROR(IF(0=LEN(ReferenceData!$AB$104),"",ReferenceData!$AB$104),"")</f>
        <v>1774815</v>
      </c>
      <c r="AC104">
        <f ca="1">IFERROR(IF(0=LEN(ReferenceData!$AC$104),"",ReferenceData!$AC$104),"")</f>
        <v>1759986</v>
      </c>
      <c r="AD104">
        <f ca="1">IFERROR(IF(0=LEN(ReferenceData!$AD$104),"",ReferenceData!$AD$104),"")</f>
        <v>606040</v>
      </c>
      <c r="AE104">
        <f ca="1">IFERROR(IF(0=LEN(ReferenceData!$AE$104),"",ReferenceData!$AE$104),"")</f>
        <v>1797183</v>
      </c>
      <c r="AF104">
        <f ca="1">IFERROR(IF(0=LEN(ReferenceData!$AF$104),"",ReferenceData!$AF$104),"")</f>
        <v>1793854</v>
      </c>
      <c r="AG104">
        <f ca="1">IFERROR(IF(0=LEN(ReferenceData!$AG$104),"",ReferenceData!$AG$104),"")</f>
        <v>1807296</v>
      </c>
      <c r="AH104">
        <f ca="1">IFERROR(IF(0=LEN(ReferenceData!$AH$104),"",ReferenceData!$AH$104),"")</f>
        <v>1817180</v>
      </c>
      <c r="AI104">
        <f ca="1">IFERROR(IF(0=LEN(ReferenceData!$AI$104),"",ReferenceData!$AI$104),"")</f>
        <v>1834958</v>
      </c>
      <c r="AJ104">
        <f ca="1">IFERROR(IF(0=LEN(ReferenceData!$AJ$104),"",ReferenceData!$AJ$104),"")</f>
        <v>1794307</v>
      </c>
      <c r="AK104">
        <f ca="1">IFERROR(IF(0=LEN(ReferenceData!$AK$104),"",ReferenceData!$AK$104),"")</f>
        <v>1794904</v>
      </c>
      <c r="AL104">
        <f ca="1">IFERROR(IF(0=LEN(ReferenceData!$AL$104),"",ReferenceData!$AL$104),"")</f>
        <v>1650978</v>
      </c>
      <c r="AM104">
        <f ca="1">IFERROR(IF(0=LEN(ReferenceData!$AM$104),"",ReferenceData!$AM$104),"")</f>
        <v>1800035</v>
      </c>
      <c r="AN104">
        <f ca="1">IFERROR(IF(0=LEN(ReferenceData!$AN$104),"",ReferenceData!$AN$104),"")</f>
        <v>1825630</v>
      </c>
      <c r="AO104">
        <f ca="1">IFERROR(IF(0=LEN(ReferenceData!$AO$104),"",ReferenceData!$AO$104),"")</f>
        <v>1859328</v>
      </c>
      <c r="AP104">
        <f ca="1">IFERROR(IF(0=LEN(ReferenceData!$AP$104),"",ReferenceData!$AP$104),"")</f>
        <v>1880375</v>
      </c>
      <c r="AQ104">
        <f ca="1">IFERROR(IF(0=LEN(ReferenceData!$AQ$104),"",ReferenceData!$AQ$104),"")</f>
        <v>1904245</v>
      </c>
      <c r="AR104">
        <f ca="1">IFERROR(IF(0=LEN(ReferenceData!$AR$104),"",ReferenceData!$AR$104),"")</f>
        <v>1915332</v>
      </c>
      <c r="AS104">
        <f ca="1">IFERROR(IF(0=LEN(ReferenceData!$AS$104),"",ReferenceData!$AS$104),"")</f>
        <v>1879790.2</v>
      </c>
      <c r="AT104">
        <f ca="1">IFERROR(IF(0=LEN(ReferenceData!$AT$104),"",ReferenceData!$AT$104),"")</f>
        <v>1971464</v>
      </c>
      <c r="AU104">
        <f ca="1">IFERROR(IF(0=LEN(ReferenceData!$AU$104),"",ReferenceData!$AU$104),"")</f>
        <v>1925168.5929999999</v>
      </c>
      <c r="AV104">
        <f ca="1">IFERROR(IF(0=LEN(ReferenceData!$AV$104),"",ReferenceData!$AV$104),"")</f>
        <v>2024752</v>
      </c>
      <c r="AW104">
        <f ca="1">IFERROR(IF(0=LEN(ReferenceData!$AW$104),"",ReferenceData!$AW$104),"")</f>
        <v>2051290</v>
      </c>
      <c r="AX104">
        <f ca="1">IFERROR(IF(0=LEN(ReferenceData!$AX$104),"",ReferenceData!$AX$104),"")</f>
        <v>2095315</v>
      </c>
      <c r="AY104">
        <f ca="1">IFERROR(IF(0=LEN(ReferenceData!$AY$104),"",ReferenceData!$AY$104),"")</f>
        <v>2057582.4620000001</v>
      </c>
      <c r="AZ104">
        <f ca="1">IFERROR(IF(0=LEN(ReferenceData!$AZ$104),"",ReferenceData!$AZ$104),"")</f>
        <v>2022463</v>
      </c>
      <c r="BA104">
        <f ca="1">IFERROR(IF(0=LEN(ReferenceData!$BA$104),"",ReferenceData!$BA$104),"")</f>
        <v>2015418</v>
      </c>
      <c r="BB104">
        <f ca="1">IFERROR(IF(0=LEN(ReferenceData!$BB$104),"",ReferenceData!$BB$104),"")</f>
        <v>2042829</v>
      </c>
      <c r="BC104">
        <f ca="1">IFERROR(IF(0=LEN(ReferenceData!$BC$104),"",ReferenceData!$BC$104),"")</f>
        <v>2021223</v>
      </c>
      <c r="BD104">
        <f ca="1">IFERROR(IF(0=LEN(ReferenceData!$BD$104),"",ReferenceData!$BD$104),"")</f>
        <v>2004840</v>
      </c>
      <c r="BE104">
        <f ca="1">IFERROR(IF(0=LEN(ReferenceData!$BE$104),"",ReferenceData!$BE$104),"")</f>
        <v>1985891</v>
      </c>
      <c r="BF104">
        <f ca="1">IFERROR(IF(0=LEN(ReferenceData!$BF$104),"",ReferenceData!$BF$104),"")</f>
        <v>1968134</v>
      </c>
      <c r="BG104">
        <f ca="1">IFERROR(IF(0=LEN(ReferenceData!$BG$104),"",ReferenceData!$BG$104),"")</f>
        <v>1925821</v>
      </c>
      <c r="BH104">
        <f ca="1">IFERROR(IF(0=LEN(ReferenceData!$BH$104),"",ReferenceData!$BH$104),"")</f>
        <v>1928845</v>
      </c>
      <c r="BI104">
        <f ca="1">IFERROR(IF(0=LEN(ReferenceData!$BI$104),"",ReferenceData!$BI$104),"")</f>
        <v>1915715</v>
      </c>
      <c r="BJ104">
        <f ca="1">IFERROR(IF(0=LEN(ReferenceData!$BJ$104),"",ReferenceData!$BJ$104),"")</f>
        <v>1885814</v>
      </c>
      <c r="BK104">
        <f ca="1">IFERROR(IF(0=LEN(ReferenceData!$BK$104),"",ReferenceData!$BK$104),"")</f>
        <v>1874158</v>
      </c>
      <c r="BL104">
        <f ca="1">IFERROR(IF(0=LEN(ReferenceData!$BL$104),"",ReferenceData!$BL$104),"")</f>
        <v>1879607</v>
      </c>
      <c r="BM104">
        <f ca="1">IFERROR(IF(0=LEN(ReferenceData!$BM$104),"",ReferenceData!$BM$104),"")</f>
        <v>141000</v>
      </c>
    </row>
    <row r="105" spans="1:65">
      <c r="A105" t="str">
        <f>IFERROR(IF(0=LEN(ReferenceData!$A$105),"",ReferenceData!$A$105),"")</f>
        <v xml:space="preserve">    Bank OZK</v>
      </c>
      <c r="B105" t="str">
        <f>IFERROR(IF(0=LEN(ReferenceData!$B$105),"",ReferenceData!$B$105),"")</f>
        <v>OZK US Equity</v>
      </c>
      <c r="C105" t="str">
        <f>IFERROR(IF(0=LEN(ReferenceData!$C$105),"",ReferenceData!$C$105),"")</f>
        <v>BS960</v>
      </c>
      <c r="D105" t="str">
        <f>IFERROR(IF(0=LEN(ReferenceData!$D$105),"",ReferenceData!$D$105),"")</f>
        <v>BS_RESIDENT_MTG_SERVICED_OTHERS</v>
      </c>
      <c r="E105" t="str">
        <f>IFERROR(IF(0=LEN(ReferenceData!$E$105),"",ReferenceData!$E$105),"")</f>
        <v>Dynamic</v>
      </c>
      <c r="F105" t="str">
        <f ca="1">IFERROR(IF(0=LEN(ReferenceData!$F$105),"",ReferenceData!$F$105),"")</f>
        <v/>
      </c>
      <c r="G105" t="str">
        <f ca="1">IFERROR(IF(0=LEN(ReferenceData!$G$105),"",ReferenceData!$G$105),"")</f>
        <v/>
      </c>
      <c r="H105" t="str">
        <f ca="1">IFERROR(IF(0=LEN(ReferenceData!$H$105),"",ReferenceData!$H$105),"")</f>
        <v/>
      </c>
      <c r="I105" t="str">
        <f ca="1">IFERROR(IF(0=LEN(ReferenceData!$I$105),"",ReferenceData!$I$105),"")</f>
        <v/>
      </c>
      <c r="J105" t="str">
        <f ca="1">IFERROR(IF(0=LEN(ReferenceData!$J$105),"",ReferenceData!$J$105),"")</f>
        <v/>
      </c>
      <c r="K105" t="str">
        <f ca="1">IFERROR(IF(0=LEN(ReferenceData!$K$105),"",ReferenceData!$K$105),"")</f>
        <v/>
      </c>
      <c r="L105" t="str">
        <f ca="1">IFERROR(IF(0=LEN(ReferenceData!$L$105),"",ReferenceData!$L$105),"")</f>
        <v/>
      </c>
      <c r="M105" t="str">
        <f ca="1">IFERROR(IF(0=LEN(ReferenceData!$M$105),"",ReferenceData!$M$105),"")</f>
        <v/>
      </c>
      <c r="N105" t="str">
        <f ca="1">IFERROR(IF(0=LEN(ReferenceData!$N$105),"",ReferenceData!$N$105),"")</f>
        <v/>
      </c>
      <c r="O105" t="str">
        <f ca="1">IFERROR(IF(0=LEN(ReferenceData!$O$105),"",ReferenceData!$O$105),"")</f>
        <v/>
      </c>
      <c r="P105" t="str">
        <f ca="1">IFERROR(IF(0=LEN(ReferenceData!$P$105),"",ReferenceData!$P$105),"")</f>
        <v/>
      </c>
      <c r="Q105" t="str">
        <f ca="1">IFERROR(IF(0=LEN(ReferenceData!$Q$105),"",ReferenceData!$Q$105),"")</f>
        <v/>
      </c>
      <c r="R105" t="str">
        <f ca="1">IFERROR(IF(0=LEN(ReferenceData!$R$105),"",ReferenceData!$R$105),"")</f>
        <v/>
      </c>
      <c r="S105" t="str">
        <f ca="1">IFERROR(IF(0=LEN(ReferenceData!$S$105),"",ReferenceData!$S$105),"")</f>
        <v/>
      </c>
      <c r="T105" t="str">
        <f ca="1">IFERROR(IF(0=LEN(ReferenceData!$T$105),"",ReferenceData!$T$105),"")</f>
        <v/>
      </c>
      <c r="U105" t="str">
        <f ca="1">IFERROR(IF(0=LEN(ReferenceData!$U$105),"",ReferenceData!$U$105),"")</f>
        <v/>
      </c>
      <c r="V105" t="str">
        <f ca="1">IFERROR(IF(0=LEN(ReferenceData!$V$105),"",ReferenceData!$V$105),"")</f>
        <v/>
      </c>
      <c r="W105" t="str">
        <f ca="1">IFERROR(IF(0=LEN(ReferenceData!$W$105),"",ReferenceData!$W$105),"")</f>
        <v/>
      </c>
      <c r="X105" t="str">
        <f ca="1">IFERROR(IF(0=LEN(ReferenceData!$X$105),"",ReferenceData!$X$105),"")</f>
        <v/>
      </c>
      <c r="Y105" t="str">
        <f ca="1">IFERROR(IF(0=LEN(ReferenceData!$Y$105),"",ReferenceData!$Y$105),"")</f>
        <v/>
      </c>
      <c r="Z105" t="str">
        <f ca="1">IFERROR(IF(0=LEN(ReferenceData!$Z$105),"",ReferenceData!$Z$105),"")</f>
        <v/>
      </c>
      <c r="AA105" t="str">
        <f ca="1">IFERROR(IF(0=LEN(ReferenceData!$AA$105),"",ReferenceData!$AA$105),"")</f>
        <v/>
      </c>
      <c r="AB105" t="str">
        <f ca="1">IFERROR(IF(0=LEN(ReferenceData!$AB$105),"",ReferenceData!$AB$105),"")</f>
        <v/>
      </c>
      <c r="AC105" t="str">
        <f ca="1">IFERROR(IF(0=LEN(ReferenceData!$AC$105),"",ReferenceData!$AC$105),"")</f>
        <v/>
      </c>
      <c r="AD105" t="str">
        <f ca="1">IFERROR(IF(0=LEN(ReferenceData!$AD$105),"",ReferenceData!$AD$105),"")</f>
        <v/>
      </c>
      <c r="AE105" t="str">
        <f ca="1">IFERROR(IF(0=LEN(ReferenceData!$AE$105),"",ReferenceData!$AE$105),"")</f>
        <v/>
      </c>
      <c r="AF105" t="str">
        <f ca="1">IFERROR(IF(0=LEN(ReferenceData!$AF$105),"",ReferenceData!$AF$105),"")</f>
        <v/>
      </c>
      <c r="AG105" t="str">
        <f ca="1">IFERROR(IF(0=LEN(ReferenceData!$AG$105),"",ReferenceData!$AG$105),"")</f>
        <v/>
      </c>
      <c r="AH105" t="str">
        <f ca="1">IFERROR(IF(0=LEN(ReferenceData!$AH$105),"",ReferenceData!$AH$105),"")</f>
        <v/>
      </c>
      <c r="AI105" t="str">
        <f ca="1">IFERROR(IF(0=LEN(ReferenceData!$AI$105),"",ReferenceData!$AI$105),"")</f>
        <v/>
      </c>
      <c r="AJ105" t="str">
        <f ca="1">IFERROR(IF(0=LEN(ReferenceData!$AJ$105),"",ReferenceData!$AJ$105),"")</f>
        <v/>
      </c>
      <c r="AK105" t="str">
        <f ca="1">IFERROR(IF(0=LEN(ReferenceData!$AK$105),"",ReferenceData!$AK$105),"")</f>
        <v/>
      </c>
      <c r="AL105" t="str">
        <f ca="1">IFERROR(IF(0=LEN(ReferenceData!$AL$105),"",ReferenceData!$AL$105),"")</f>
        <v/>
      </c>
      <c r="AM105" t="str">
        <f ca="1">IFERROR(IF(0=LEN(ReferenceData!$AM$105),"",ReferenceData!$AM$105),"")</f>
        <v/>
      </c>
      <c r="AN105" t="str">
        <f ca="1">IFERROR(IF(0=LEN(ReferenceData!$AN$105),"",ReferenceData!$AN$105),"")</f>
        <v/>
      </c>
      <c r="AO105" t="str">
        <f ca="1">IFERROR(IF(0=LEN(ReferenceData!$AO$105),"",ReferenceData!$AO$105),"")</f>
        <v/>
      </c>
      <c r="AP105" t="str">
        <f ca="1">IFERROR(IF(0=LEN(ReferenceData!$AP$105),"",ReferenceData!$AP$105),"")</f>
        <v/>
      </c>
      <c r="AQ105" t="str">
        <f ca="1">IFERROR(IF(0=LEN(ReferenceData!$AQ$105),"",ReferenceData!$AQ$105),"")</f>
        <v/>
      </c>
      <c r="AR105" t="str">
        <f ca="1">IFERROR(IF(0=LEN(ReferenceData!$AR$105),"",ReferenceData!$AR$105),"")</f>
        <v/>
      </c>
      <c r="AS105" t="str">
        <f ca="1">IFERROR(IF(0=LEN(ReferenceData!$AS$105),"",ReferenceData!$AS$105),"")</f>
        <v/>
      </c>
      <c r="AT105" t="str">
        <f ca="1">IFERROR(IF(0=LEN(ReferenceData!$AT$105),"",ReferenceData!$AT$105),"")</f>
        <v/>
      </c>
      <c r="AU105" t="str">
        <f ca="1">IFERROR(IF(0=LEN(ReferenceData!$AU$105),"",ReferenceData!$AU$105),"")</f>
        <v/>
      </c>
      <c r="AV105" t="str">
        <f ca="1">IFERROR(IF(0=LEN(ReferenceData!$AV$105),"",ReferenceData!$AV$105),"")</f>
        <v/>
      </c>
      <c r="AW105" t="str">
        <f ca="1">IFERROR(IF(0=LEN(ReferenceData!$AW$105),"",ReferenceData!$AW$105),"")</f>
        <v/>
      </c>
      <c r="AX105" t="str">
        <f ca="1">IFERROR(IF(0=LEN(ReferenceData!$AX$105),"",ReferenceData!$AX$105),"")</f>
        <v/>
      </c>
      <c r="AY105" t="str">
        <f ca="1">IFERROR(IF(0=LEN(ReferenceData!$AY$105),"",ReferenceData!$AY$105),"")</f>
        <v/>
      </c>
      <c r="AZ105" t="str">
        <f ca="1">IFERROR(IF(0=LEN(ReferenceData!$AZ$105),"",ReferenceData!$AZ$105),"")</f>
        <v/>
      </c>
      <c r="BA105" t="str">
        <f ca="1">IFERROR(IF(0=LEN(ReferenceData!$BA$105),"",ReferenceData!$BA$105),"")</f>
        <v/>
      </c>
      <c r="BB105" t="str">
        <f ca="1">IFERROR(IF(0=LEN(ReferenceData!$BB$105),"",ReferenceData!$BB$105),"")</f>
        <v/>
      </c>
      <c r="BC105" t="str">
        <f ca="1">IFERROR(IF(0=LEN(ReferenceData!$BC$105),"",ReferenceData!$BC$105),"")</f>
        <v/>
      </c>
      <c r="BD105" t="str">
        <f ca="1">IFERROR(IF(0=LEN(ReferenceData!$BD$105),"",ReferenceData!$BD$105),"")</f>
        <v/>
      </c>
      <c r="BE105" t="str">
        <f ca="1">IFERROR(IF(0=LEN(ReferenceData!$BE$105),"",ReferenceData!$BE$105),"")</f>
        <v/>
      </c>
      <c r="BF105" t="str">
        <f ca="1">IFERROR(IF(0=LEN(ReferenceData!$BF$105),"",ReferenceData!$BF$105),"")</f>
        <v/>
      </c>
      <c r="BG105" t="str">
        <f ca="1">IFERROR(IF(0=LEN(ReferenceData!$BG$105),"",ReferenceData!$BG$105),"")</f>
        <v/>
      </c>
      <c r="BH105" t="str">
        <f ca="1">IFERROR(IF(0=LEN(ReferenceData!$BH$105),"",ReferenceData!$BH$105),"")</f>
        <v/>
      </c>
      <c r="BI105" t="str">
        <f ca="1">IFERROR(IF(0=LEN(ReferenceData!$BI$105),"",ReferenceData!$BI$105),"")</f>
        <v/>
      </c>
      <c r="BJ105" t="str">
        <f ca="1">IFERROR(IF(0=LEN(ReferenceData!$BJ$105),"",ReferenceData!$BJ$105),"")</f>
        <v/>
      </c>
      <c r="BK105" t="str">
        <f ca="1">IFERROR(IF(0=LEN(ReferenceData!$BK$105),"",ReferenceData!$BK$105),"")</f>
        <v/>
      </c>
      <c r="BL105" t="str">
        <f ca="1">IFERROR(IF(0=LEN(ReferenceData!$BL$105),"",ReferenceData!$BL$105),"")</f>
        <v/>
      </c>
      <c r="BM105" t="str">
        <f ca="1">IFERROR(IF(0=LEN(ReferenceData!$BM$105),"",ReferenceData!$BM$105),"")</f>
        <v/>
      </c>
    </row>
    <row r="106" spans="1:65">
      <c r="A106" t="str">
        <f>IFERROR(IF(0=LEN(ReferenceData!$A$106),"",ReferenceData!$A$106),"")</f>
        <v xml:space="preserve">    Citizens Financial Group Inc</v>
      </c>
      <c r="B106" t="str">
        <f>IFERROR(IF(0=LEN(ReferenceData!$B$106),"",ReferenceData!$B$106),"")</f>
        <v>CFG US Equity</v>
      </c>
      <c r="C106" t="str">
        <f>IFERROR(IF(0=LEN(ReferenceData!$C$106),"",ReferenceData!$C$106),"")</f>
        <v>BS960</v>
      </c>
      <c r="D106" t="str">
        <f>IFERROR(IF(0=LEN(ReferenceData!$D$106),"",ReferenceData!$D$106),"")</f>
        <v>BS_RESIDENT_MTG_SERVICED_OTHERS</v>
      </c>
      <c r="E106" t="str">
        <f>IFERROR(IF(0=LEN(ReferenceData!$E$106),"",ReferenceData!$E$106),"")</f>
        <v>Dynamic</v>
      </c>
      <c r="F106" t="str">
        <f ca="1">IFERROR(IF(0=LEN(ReferenceData!$F$106),"",ReferenceData!$F$106),"")</f>
        <v/>
      </c>
      <c r="G106" t="str">
        <f ca="1">IFERROR(IF(0=LEN(ReferenceData!$G$106),"",ReferenceData!$G$106),"")</f>
        <v/>
      </c>
      <c r="H106" t="str">
        <f ca="1">IFERROR(IF(0=LEN(ReferenceData!$H$106),"",ReferenceData!$H$106),"")</f>
        <v/>
      </c>
      <c r="I106" t="str">
        <f ca="1">IFERROR(IF(0=LEN(ReferenceData!$I$106),"",ReferenceData!$I$106),"")</f>
        <v/>
      </c>
      <c r="J106" t="str">
        <f ca="1">IFERROR(IF(0=LEN(ReferenceData!$J$106),"",ReferenceData!$J$106),"")</f>
        <v/>
      </c>
      <c r="K106" t="str">
        <f ca="1">IFERROR(IF(0=LEN(ReferenceData!$K$106),"",ReferenceData!$K$106),"")</f>
        <v/>
      </c>
      <c r="L106" t="str">
        <f ca="1">IFERROR(IF(0=LEN(ReferenceData!$L$106),"",ReferenceData!$L$106),"")</f>
        <v/>
      </c>
      <c r="M106" t="str">
        <f ca="1">IFERROR(IF(0=LEN(ReferenceData!$M$106),"",ReferenceData!$M$106),"")</f>
        <v/>
      </c>
      <c r="N106" t="str">
        <f ca="1">IFERROR(IF(0=LEN(ReferenceData!$N$106),"",ReferenceData!$N$106),"")</f>
        <v/>
      </c>
      <c r="O106" t="str">
        <f ca="1">IFERROR(IF(0=LEN(ReferenceData!$O$106),"",ReferenceData!$O$106),"")</f>
        <v/>
      </c>
      <c r="P106" t="str">
        <f ca="1">IFERROR(IF(0=LEN(ReferenceData!$P$106),"",ReferenceData!$P$106),"")</f>
        <v/>
      </c>
      <c r="Q106" t="str">
        <f ca="1">IFERROR(IF(0=LEN(ReferenceData!$Q$106),"",ReferenceData!$Q$106),"")</f>
        <v/>
      </c>
      <c r="R106" t="str">
        <f ca="1">IFERROR(IF(0=LEN(ReferenceData!$R$106),"",ReferenceData!$R$106),"")</f>
        <v/>
      </c>
      <c r="S106" t="str">
        <f ca="1">IFERROR(IF(0=LEN(ReferenceData!$S$106),"",ReferenceData!$S$106),"")</f>
        <v/>
      </c>
      <c r="T106" t="str">
        <f ca="1">IFERROR(IF(0=LEN(ReferenceData!$T$106),"",ReferenceData!$T$106),"")</f>
        <v/>
      </c>
      <c r="U106" t="str">
        <f ca="1">IFERROR(IF(0=LEN(ReferenceData!$U$106),"",ReferenceData!$U$106),"")</f>
        <v/>
      </c>
      <c r="V106" t="str">
        <f ca="1">IFERROR(IF(0=LEN(ReferenceData!$V$106),"",ReferenceData!$V$106),"")</f>
        <v/>
      </c>
      <c r="W106" t="str">
        <f ca="1">IFERROR(IF(0=LEN(ReferenceData!$W$106),"",ReferenceData!$W$106),"")</f>
        <v/>
      </c>
      <c r="X106" t="str">
        <f ca="1">IFERROR(IF(0=LEN(ReferenceData!$X$106),"",ReferenceData!$X$106),"")</f>
        <v/>
      </c>
      <c r="Y106" t="str">
        <f ca="1">IFERROR(IF(0=LEN(ReferenceData!$Y$106),"",ReferenceData!$Y$106),"")</f>
        <v/>
      </c>
      <c r="Z106" t="str">
        <f ca="1">IFERROR(IF(0=LEN(ReferenceData!$Z$106),"",ReferenceData!$Z$106),"")</f>
        <v/>
      </c>
      <c r="AA106" t="str">
        <f ca="1">IFERROR(IF(0=LEN(ReferenceData!$AA$106),"",ReferenceData!$AA$106),"")</f>
        <v/>
      </c>
      <c r="AB106" t="str">
        <f ca="1">IFERROR(IF(0=LEN(ReferenceData!$AB$106),"",ReferenceData!$AB$106),"")</f>
        <v/>
      </c>
      <c r="AC106" t="str">
        <f ca="1">IFERROR(IF(0=LEN(ReferenceData!$AC$106),"",ReferenceData!$AC$106),"")</f>
        <v/>
      </c>
      <c r="AD106" t="str">
        <f ca="1">IFERROR(IF(0=LEN(ReferenceData!$AD$106),"",ReferenceData!$AD$106),"")</f>
        <v/>
      </c>
      <c r="AE106" t="str">
        <f ca="1">IFERROR(IF(0=LEN(ReferenceData!$AE$106),"",ReferenceData!$AE$106),"")</f>
        <v/>
      </c>
      <c r="AF106" t="str">
        <f ca="1">IFERROR(IF(0=LEN(ReferenceData!$AF$106),"",ReferenceData!$AF$106),"")</f>
        <v/>
      </c>
      <c r="AG106" t="str">
        <f ca="1">IFERROR(IF(0=LEN(ReferenceData!$AG$106),"",ReferenceData!$AG$106),"")</f>
        <v/>
      </c>
      <c r="AH106" t="str">
        <f ca="1">IFERROR(IF(0=LEN(ReferenceData!$AH$106),"",ReferenceData!$AH$106),"")</f>
        <v/>
      </c>
      <c r="AI106" t="str">
        <f ca="1">IFERROR(IF(0=LEN(ReferenceData!$AI$106),"",ReferenceData!$AI$106),"")</f>
        <v/>
      </c>
      <c r="AJ106" t="str">
        <f ca="1">IFERROR(IF(0=LEN(ReferenceData!$AJ$106),"",ReferenceData!$AJ$106),"")</f>
        <v/>
      </c>
      <c r="AK106" t="str">
        <f ca="1">IFERROR(IF(0=LEN(ReferenceData!$AK$106),"",ReferenceData!$AK$106),"")</f>
        <v/>
      </c>
      <c r="AL106" t="str">
        <f ca="1">IFERROR(IF(0=LEN(ReferenceData!$AL$106),"",ReferenceData!$AL$106),"")</f>
        <v/>
      </c>
      <c r="AM106" t="str">
        <f ca="1">IFERROR(IF(0=LEN(ReferenceData!$AM$106),"",ReferenceData!$AM$106),"")</f>
        <v/>
      </c>
      <c r="AN106" t="str">
        <f ca="1">IFERROR(IF(0=LEN(ReferenceData!$AN$106),"",ReferenceData!$AN$106),"")</f>
        <v/>
      </c>
      <c r="AO106" t="str">
        <f ca="1">IFERROR(IF(0=LEN(ReferenceData!$AO$106),"",ReferenceData!$AO$106),"")</f>
        <v/>
      </c>
      <c r="AP106" t="str">
        <f ca="1">IFERROR(IF(0=LEN(ReferenceData!$AP$106),"",ReferenceData!$AP$106),"")</f>
        <v/>
      </c>
      <c r="AQ106" t="str">
        <f ca="1">IFERROR(IF(0=LEN(ReferenceData!$AQ$106),"",ReferenceData!$AQ$106),"")</f>
        <v/>
      </c>
      <c r="AR106" t="str">
        <f ca="1">IFERROR(IF(0=LEN(ReferenceData!$AR$106),"",ReferenceData!$AR$106),"")</f>
        <v/>
      </c>
      <c r="AS106" t="str">
        <f ca="1">IFERROR(IF(0=LEN(ReferenceData!$AS$106),"",ReferenceData!$AS$106),"")</f>
        <v/>
      </c>
      <c r="AT106" t="str">
        <f ca="1">IFERROR(IF(0=LEN(ReferenceData!$AT$106),"",ReferenceData!$AT$106),"")</f>
        <v/>
      </c>
      <c r="AU106" t="str">
        <f ca="1">IFERROR(IF(0=LEN(ReferenceData!$AU$106),"",ReferenceData!$AU$106),"")</f>
        <v/>
      </c>
      <c r="AV106" t="str">
        <f ca="1">IFERROR(IF(0=LEN(ReferenceData!$AV$106),"",ReferenceData!$AV$106),"")</f>
        <v/>
      </c>
      <c r="AW106" t="str">
        <f ca="1">IFERROR(IF(0=LEN(ReferenceData!$AW$106),"",ReferenceData!$AW$106),"")</f>
        <v/>
      </c>
      <c r="AX106" t="str">
        <f ca="1">IFERROR(IF(0=LEN(ReferenceData!$AX$106),"",ReferenceData!$AX$106),"")</f>
        <v/>
      </c>
      <c r="AY106" t="str">
        <f ca="1">IFERROR(IF(0=LEN(ReferenceData!$AY$106),"",ReferenceData!$AY$106),"")</f>
        <v/>
      </c>
      <c r="AZ106" t="str">
        <f ca="1">IFERROR(IF(0=LEN(ReferenceData!$AZ$106),"",ReferenceData!$AZ$106),"")</f>
        <v/>
      </c>
      <c r="BA106" t="str">
        <f ca="1">IFERROR(IF(0=LEN(ReferenceData!$BA$106),"",ReferenceData!$BA$106),"")</f>
        <v/>
      </c>
      <c r="BB106" t="str">
        <f ca="1">IFERROR(IF(0=LEN(ReferenceData!$BB$106),"",ReferenceData!$BB$106),"")</f>
        <v/>
      </c>
      <c r="BC106" t="str">
        <f ca="1">IFERROR(IF(0=LEN(ReferenceData!$BC$106),"",ReferenceData!$BC$106),"")</f>
        <v/>
      </c>
      <c r="BD106" t="str">
        <f ca="1">IFERROR(IF(0=LEN(ReferenceData!$BD$106),"",ReferenceData!$BD$106),"")</f>
        <v/>
      </c>
      <c r="BE106" t="str">
        <f ca="1">IFERROR(IF(0=LEN(ReferenceData!$BE$106),"",ReferenceData!$BE$106),"")</f>
        <v/>
      </c>
      <c r="BF106" t="str">
        <f ca="1">IFERROR(IF(0=LEN(ReferenceData!$BF$106),"",ReferenceData!$BF$106),"")</f>
        <v/>
      </c>
      <c r="BG106" t="str">
        <f ca="1">IFERROR(IF(0=LEN(ReferenceData!$BG$106),"",ReferenceData!$BG$106),"")</f>
        <v/>
      </c>
      <c r="BH106" t="str">
        <f ca="1">IFERROR(IF(0=LEN(ReferenceData!$BH$106),"",ReferenceData!$BH$106),"")</f>
        <v/>
      </c>
      <c r="BI106" t="str">
        <f ca="1">IFERROR(IF(0=LEN(ReferenceData!$BI$106),"",ReferenceData!$BI$106),"")</f>
        <v/>
      </c>
      <c r="BJ106" t="str">
        <f ca="1">IFERROR(IF(0=LEN(ReferenceData!$BJ$106),"",ReferenceData!$BJ$106),"")</f>
        <v/>
      </c>
      <c r="BK106" t="str">
        <f ca="1">IFERROR(IF(0=LEN(ReferenceData!$BK$106),"",ReferenceData!$BK$106),"")</f>
        <v/>
      </c>
      <c r="BL106" t="str">
        <f ca="1">IFERROR(IF(0=LEN(ReferenceData!$BL$106),"",ReferenceData!$BL$106),"")</f>
        <v/>
      </c>
      <c r="BM106" t="str">
        <f ca="1">IFERROR(IF(0=LEN(ReferenceData!$BM$106),"",ReferenceData!$BM$106),"")</f>
        <v/>
      </c>
    </row>
    <row r="107" spans="1:65">
      <c r="A107" t="str">
        <f>IFERROR(IF(0=LEN(ReferenceData!$A$107),"",ReferenceData!$A$107),"")</f>
        <v xml:space="preserve">    Comerica Inc</v>
      </c>
      <c r="B107" t="str">
        <f>IFERROR(IF(0=LEN(ReferenceData!$B$107),"",ReferenceData!$B$107),"")</f>
        <v>CMA US Equity</v>
      </c>
      <c r="C107" t="str">
        <f>IFERROR(IF(0=LEN(ReferenceData!$C$107),"",ReferenceData!$C$107),"")</f>
        <v>BS960</v>
      </c>
      <c r="D107" t="str">
        <f>IFERROR(IF(0=LEN(ReferenceData!$D$107),"",ReferenceData!$D$107),"")</f>
        <v>BS_RESIDENT_MTG_SERVICED_OTHERS</v>
      </c>
      <c r="E107" t="str">
        <f>IFERROR(IF(0=LEN(ReferenceData!$E$107),"",ReferenceData!$E$107),"")</f>
        <v>Dynamic</v>
      </c>
      <c r="F107" t="str">
        <f ca="1">IFERROR(IF(0=LEN(ReferenceData!$F$107),"",ReferenceData!$F$107),"")</f>
        <v/>
      </c>
      <c r="G107" t="str">
        <f ca="1">IFERROR(IF(0=LEN(ReferenceData!$G$107),"",ReferenceData!$G$107),"")</f>
        <v/>
      </c>
      <c r="H107" t="str">
        <f ca="1">IFERROR(IF(0=LEN(ReferenceData!$H$107),"",ReferenceData!$H$107),"")</f>
        <v/>
      </c>
      <c r="I107" t="str">
        <f ca="1">IFERROR(IF(0=LEN(ReferenceData!$I$107),"",ReferenceData!$I$107),"")</f>
        <v/>
      </c>
      <c r="J107" t="str">
        <f ca="1">IFERROR(IF(0=LEN(ReferenceData!$J$107),"",ReferenceData!$J$107),"")</f>
        <v/>
      </c>
      <c r="K107" t="str">
        <f ca="1">IFERROR(IF(0=LEN(ReferenceData!$K$107),"",ReferenceData!$K$107),"")</f>
        <v/>
      </c>
      <c r="L107" t="str">
        <f ca="1">IFERROR(IF(0=LEN(ReferenceData!$L$107),"",ReferenceData!$L$107),"")</f>
        <v/>
      </c>
      <c r="M107" t="str">
        <f ca="1">IFERROR(IF(0=LEN(ReferenceData!$M$107),"",ReferenceData!$M$107),"")</f>
        <v/>
      </c>
      <c r="N107" t="str">
        <f ca="1">IFERROR(IF(0=LEN(ReferenceData!$N$107),"",ReferenceData!$N$107),"")</f>
        <v/>
      </c>
      <c r="O107" t="str">
        <f ca="1">IFERROR(IF(0=LEN(ReferenceData!$O$107),"",ReferenceData!$O$107),"")</f>
        <v/>
      </c>
      <c r="P107" t="str">
        <f ca="1">IFERROR(IF(0=LEN(ReferenceData!$P$107),"",ReferenceData!$P$107),"")</f>
        <v/>
      </c>
      <c r="Q107" t="str">
        <f ca="1">IFERROR(IF(0=LEN(ReferenceData!$Q$107),"",ReferenceData!$Q$107),"")</f>
        <v/>
      </c>
      <c r="R107" t="str">
        <f ca="1">IFERROR(IF(0=LEN(ReferenceData!$R$107),"",ReferenceData!$R$107),"")</f>
        <v/>
      </c>
      <c r="S107" t="str">
        <f ca="1">IFERROR(IF(0=LEN(ReferenceData!$S$107),"",ReferenceData!$S$107),"")</f>
        <v/>
      </c>
      <c r="T107" t="str">
        <f ca="1">IFERROR(IF(0=LEN(ReferenceData!$T$107),"",ReferenceData!$T$107),"")</f>
        <v/>
      </c>
      <c r="U107" t="str">
        <f ca="1">IFERROR(IF(0=LEN(ReferenceData!$U$107),"",ReferenceData!$U$107),"")</f>
        <v/>
      </c>
      <c r="V107" t="str">
        <f ca="1">IFERROR(IF(0=LEN(ReferenceData!$V$107),"",ReferenceData!$V$107),"")</f>
        <v/>
      </c>
      <c r="W107" t="str">
        <f ca="1">IFERROR(IF(0=LEN(ReferenceData!$W$107),"",ReferenceData!$W$107),"")</f>
        <v/>
      </c>
      <c r="X107" t="str">
        <f ca="1">IFERROR(IF(0=LEN(ReferenceData!$X$107),"",ReferenceData!$X$107),"")</f>
        <v/>
      </c>
      <c r="Y107" t="str">
        <f ca="1">IFERROR(IF(0=LEN(ReferenceData!$Y$107),"",ReferenceData!$Y$107),"")</f>
        <v/>
      </c>
      <c r="Z107" t="str">
        <f ca="1">IFERROR(IF(0=LEN(ReferenceData!$Z$107),"",ReferenceData!$Z$107),"")</f>
        <v/>
      </c>
      <c r="AA107" t="str">
        <f ca="1">IFERROR(IF(0=LEN(ReferenceData!$AA$107),"",ReferenceData!$AA$107),"")</f>
        <v/>
      </c>
      <c r="AB107" t="str">
        <f ca="1">IFERROR(IF(0=LEN(ReferenceData!$AB$107),"",ReferenceData!$AB$107),"")</f>
        <v/>
      </c>
      <c r="AC107" t="str">
        <f ca="1">IFERROR(IF(0=LEN(ReferenceData!$AC$107),"",ReferenceData!$AC$107),"")</f>
        <v/>
      </c>
      <c r="AD107" t="str">
        <f ca="1">IFERROR(IF(0=LEN(ReferenceData!$AD$107),"",ReferenceData!$AD$107),"")</f>
        <v/>
      </c>
      <c r="AE107" t="str">
        <f ca="1">IFERROR(IF(0=LEN(ReferenceData!$AE$107),"",ReferenceData!$AE$107),"")</f>
        <v/>
      </c>
      <c r="AF107" t="str">
        <f ca="1">IFERROR(IF(0=LEN(ReferenceData!$AF$107),"",ReferenceData!$AF$107),"")</f>
        <v/>
      </c>
      <c r="AG107" t="str">
        <f ca="1">IFERROR(IF(0=LEN(ReferenceData!$AG$107),"",ReferenceData!$AG$107),"")</f>
        <v/>
      </c>
      <c r="AH107" t="str">
        <f ca="1">IFERROR(IF(0=LEN(ReferenceData!$AH$107),"",ReferenceData!$AH$107),"")</f>
        <v/>
      </c>
      <c r="AI107" t="str">
        <f ca="1">IFERROR(IF(0=LEN(ReferenceData!$AI$107),"",ReferenceData!$AI$107),"")</f>
        <v/>
      </c>
      <c r="AJ107" t="str">
        <f ca="1">IFERROR(IF(0=LEN(ReferenceData!$AJ$107),"",ReferenceData!$AJ$107),"")</f>
        <v/>
      </c>
      <c r="AK107" t="str">
        <f ca="1">IFERROR(IF(0=LEN(ReferenceData!$AK$107),"",ReferenceData!$AK$107),"")</f>
        <v/>
      </c>
      <c r="AL107" t="str">
        <f ca="1">IFERROR(IF(0=LEN(ReferenceData!$AL$107),"",ReferenceData!$AL$107),"")</f>
        <v/>
      </c>
      <c r="AM107" t="str">
        <f ca="1">IFERROR(IF(0=LEN(ReferenceData!$AM$107),"",ReferenceData!$AM$107),"")</f>
        <v/>
      </c>
      <c r="AN107" t="str">
        <f ca="1">IFERROR(IF(0=LEN(ReferenceData!$AN$107),"",ReferenceData!$AN$107),"")</f>
        <v/>
      </c>
      <c r="AO107" t="str">
        <f ca="1">IFERROR(IF(0=LEN(ReferenceData!$AO$107),"",ReferenceData!$AO$107),"")</f>
        <v/>
      </c>
      <c r="AP107" t="str">
        <f ca="1">IFERROR(IF(0=LEN(ReferenceData!$AP$107),"",ReferenceData!$AP$107),"")</f>
        <v/>
      </c>
      <c r="AQ107" t="str">
        <f ca="1">IFERROR(IF(0=LEN(ReferenceData!$AQ$107),"",ReferenceData!$AQ$107),"")</f>
        <v/>
      </c>
      <c r="AR107" t="str">
        <f ca="1">IFERROR(IF(0=LEN(ReferenceData!$AR$107),"",ReferenceData!$AR$107),"")</f>
        <v/>
      </c>
      <c r="AS107" t="str">
        <f ca="1">IFERROR(IF(0=LEN(ReferenceData!$AS$107),"",ReferenceData!$AS$107),"")</f>
        <v/>
      </c>
      <c r="AT107" t="str">
        <f ca="1">IFERROR(IF(0=LEN(ReferenceData!$AT$107),"",ReferenceData!$AT$107),"")</f>
        <v/>
      </c>
      <c r="AU107" t="str">
        <f ca="1">IFERROR(IF(0=LEN(ReferenceData!$AU$107),"",ReferenceData!$AU$107),"")</f>
        <v/>
      </c>
      <c r="AV107" t="str">
        <f ca="1">IFERROR(IF(0=LEN(ReferenceData!$AV$107),"",ReferenceData!$AV$107),"")</f>
        <v/>
      </c>
      <c r="AW107" t="str">
        <f ca="1">IFERROR(IF(0=LEN(ReferenceData!$AW$107),"",ReferenceData!$AW$107),"")</f>
        <v/>
      </c>
      <c r="AX107" t="str">
        <f ca="1">IFERROR(IF(0=LEN(ReferenceData!$AX$107),"",ReferenceData!$AX$107),"")</f>
        <v/>
      </c>
      <c r="AY107" t="str">
        <f ca="1">IFERROR(IF(0=LEN(ReferenceData!$AY$107),"",ReferenceData!$AY$107),"")</f>
        <v/>
      </c>
      <c r="AZ107" t="str">
        <f ca="1">IFERROR(IF(0=LEN(ReferenceData!$AZ$107),"",ReferenceData!$AZ$107),"")</f>
        <v/>
      </c>
      <c r="BA107" t="str">
        <f ca="1">IFERROR(IF(0=LEN(ReferenceData!$BA$107),"",ReferenceData!$BA$107),"")</f>
        <v/>
      </c>
      <c r="BB107" t="str">
        <f ca="1">IFERROR(IF(0=LEN(ReferenceData!$BB$107),"",ReferenceData!$BB$107),"")</f>
        <v/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 t="str">
        <f ca="1">IFERROR(IF(0=LEN(ReferenceData!$BE$107),"",ReferenceData!$BE$107),"")</f>
        <v/>
      </c>
      <c r="BF107" t="str">
        <f ca="1">IFERROR(IF(0=LEN(ReferenceData!$BF$107),"",ReferenceData!$BF$107),"")</f>
        <v/>
      </c>
      <c r="BG107" t="str">
        <f ca="1">IFERROR(IF(0=LEN(ReferenceData!$BG$107),"",ReferenceData!$BG$107),"")</f>
        <v/>
      </c>
      <c r="BH107" t="str">
        <f ca="1">IFERROR(IF(0=LEN(ReferenceData!$BH$107),"",ReferenceData!$BH$107),"")</f>
        <v/>
      </c>
      <c r="BI107" t="str">
        <f ca="1">IFERROR(IF(0=LEN(ReferenceData!$BI$107),"",ReferenceData!$BI$107),"")</f>
        <v/>
      </c>
      <c r="BJ107" t="str">
        <f ca="1">IFERROR(IF(0=LEN(ReferenceData!$BJ$107),"",ReferenceData!$BJ$107),"")</f>
        <v/>
      </c>
      <c r="BK107" t="str">
        <f ca="1">IFERROR(IF(0=LEN(ReferenceData!$BK$107),"",ReferenceData!$BK$107),"")</f>
        <v/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>
      <c r="A108" t="str">
        <f>IFERROR(IF(0=LEN(ReferenceData!$A$108),"",ReferenceData!$A$108),"")</f>
        <v xml:space="preserve">    East West Bancorp Inc</v>
      </c>
      <c r="B108" t="str">
        <f>IFERROR(IF(0=LEN(ReferenceData!$B$108),"",ReferenceData!$B$108),"")</f>
        <v>EWBC US Equity</v>
      </c>
      <c r="C108" t="str">
        <f>IFERROR(IF(0=LEN(ReferenceData!$C$108),"",ReferenceData!$C$108),"")</f>
        <v>BS960</v>
      </c>
      <c r="D108" t="str">
        <f>IFERROR(IF(0=LEN(ReferenceData!$D$108),"",ReferenceData!$D$108),"")</f>
        <v>BS_RESIDENT_MTG_SERVICED_OTHERS</v>
      </c>
      <c r="E108" t="str">
        <f>IFERROR(IF(0=LEN(ReferenceData!$E$108),"",ReferenceData!$E$108),"")</f>
        <v>Dynamic</v>
      </c>
      <c r="F108" t="str">
        <f ca="1">IFERROR(IF(0=LEN(ReferenceData!$F$108),"",ReferenceData!$F$108),"")</f>
        <v/>
      </c>
      <c r="G108" t="str">
        <f ca="1">IFERROR(IF(0=LEN(ReferenceData!$G$108),"",ReferenceData!$G$108),"")</f>
        <v/>
      </c>
      <c r="H108" t="str">
        <f ca="1">IFERROR(IF(0=LEN(ReferenceData!$H$108),"",ReferenceData!$H$108),"")</f>
        <v/>
      </c>
      <c r="I108" t="str">
        <f ca="1">IFERROR(IF(0=LEN(ReferenceData!$I$108),"",ReferenceData!$I$108),"")</f>
        <v/>
      </c>
      <c r="J108" t="str">
        <f ca="1">IFERROR(IF(0=LEN(ReferenceData!$J$108),"",ReferenceData!$J$108),"")</f>
        <v/>
      </c>
      <c r="K108" t="str">
        <f ca="1">IFERROR(IF(0=LEN(ReferenceData!$K$108),"",ReferenceData!$K$108),"")</f>
        <v/>
      </c>
      <c r="L108" t="str">
        <f ca="1">IFERROR(IF(0=LEN(ReferenceData!$L$108),"",ReferenceData!$L$108),"")</f>
        <v/>
      </c>
      <c r="M108" t="str">
        <f ca="1">IFERROR(IF(0=LEN(ReferenceData!$M$108),"",ReferenceData!$M$108),"")</f>
        <v/>
      </c>
      <c r="N108" t="str">
        <f ca="1">IFERROR(IF(0=LEN(ReferenceData!$N$108),"",ReferenceData!$N$108),"")</f>
        <v/>
      </c>
      <c r="O108" t="str">
        <f ca="1">IFERROR(IF(0=LEN(ReferenceData!$O$108),"",ReferenceData!$O$108),"")</f>
        <v/>
      </c>
      <c r="P108" t="str">
        <f ca="1">IFERROR(IF(0=LEN(ReferenceData!$P$108),"",ReferenceData!$P$108),"")</f>
        <v/>
      </c>
      <c r="Q108" t="str">
        <f ca="1">IFERROR(IF(0=LEN(ReferenceData!$Q$108),"",ReferenceData!$Q$108),"")</f>
        <v/>
      </c>
      <c r="R108" t="str">
        <f ca="1">IFERROR(IF(0=LEN(ReferenceData!$R$108),"",ReferenceData!$R$108),"")</f>
        <v/>
      </c>
      <c r="S108" t="str">
        <f ca="1">IFERROR(IF(0=LEN(ReferenceData!$S$108),"",ReferenceData!$S$108),"")</f>
        <v/>
      </c>
      <c r="T108" t="str">
        <f ca="1">IFERROR(IF(0=LEN(ReferenceData!$T$108),"",ReferenceData!$T$108),"")</f>
        <v/>
      </c>
      <c r="U108" t="str">
        <f ca="1">IFERROR(IF(0=LEN(ReferenceData!$U$108),"",ReferenceData!$U$108),"")</f>
        <v/>
      </c>
      <c r="V108" t="str">
        <f ca="1">IFERROR(IF(0=LEN(ReferenceData!$V$108),"",ReferenceData!$V$108),"")</f>
        <v/>
      </c>
      <c r="W108" t="str">
        <f ca="1">IFERROR(IF(0=LEN(ReferenceData!$W$108),"",ReferenceData!$W$108),"")</f>
        <v/>
      </c>
      <c r="X108" t="str">
        <f ca="1">IFERROR(IF(0=LEN(ReferenceData!$X$108),"",ReferenceData!$X$108),"")</f>
        <v/>
      </c>
      <c r="Y108" t="str">
        <f ca="1">IFERROR(IF(0=LEN(ReferenceData!$Y$108),"",ReferenceData!$Y$108),"")</f>
        <v/>
      </c>
      <c r="Z108" t="str">
        <f ca="1">IFERROR(IF(0=LEN(ReferenceData!$Z$108),"",ReferenceData!$Z$108),"")</f>
        <v/>
      </c>
      <c r="AA108" t="str">
        <f ca="1">IFERROR(IF(0=LEN(ReferenceData!$AA$108),"",ReferenceData!$AA$108),"")</f>
        <v/>
      </c>
      <c r="AB108" t="str">
        <f ca="1">IFERROR(IF(0=LEN(ReferenceData!$AB$108),"",ReferenceData!$AB$108),"")</f>
        <v/>
      </c>
      <c r="AC108" t="str">
        <f ca="1">IFERROR(IF(0=LEN(ReferenceData!$AC$108),"",ReferenceData!$AC$108),"")</f>
        <v/>
      </c>
      <c r="AD108" t="str">
        <f ca="1">IFERROR(IF(0=LEN(ReferenceData!$AD$108),"",ReferenceData!$AD$108),"")</f>
        <v/>
      </c>
      <c r="AE108" t="str">
        <f ca="1">IFERROR(IF(0=LEN(ReferenceData!$AE$108),"",ReferenceData!$AE$108),"")</f>
        <v/>
      </c>
      <c r="AF108" t="str">
        <f ca="1">IFERROR(IF(0=LEN(ReferenceData!$AF$108),"",ReferenceData!$AF$108),"")</f>
        <v/>
      </c>
      <c r="AG108" t="str">
        <f ca="1">IFERROR(IF(0=LEN(ReferenceData!$AG$108),"",ReferenceData!$AG$108),"")</f>
        <v/>
      </c>
      <c r="AH108" t="str">
        <f ca="1">IFERROR(IF(0=LEN(ReferenceData!$AH$108),"",ReferenceData!$AH$108),"")</f>
        <v/>
      </c>
      <c r="AI108" t="str">
        <f ca="1">IFERROR(IF(0=LEN(ReferenceData!$AI$108),"",ReferenceData!$AI$108),"")</f>
        <v/>
      </c>
      <c r="AJ108" t="str">
        <f ca="1">IFERROR(IF(0=LEN(ReferenceData!$AJ$108),"",ReferenceData!$AJ$108),"")</f>
        <v/>
      </c>
      <c r="AK108" t="str">
        <f ca="1">IFERROR(IF(0=LEN(ReferenceData!$AK$108),"",ReferenceData!$AK$108),"")</f>
        <v/>
      </c>
      <c r="AL108" t="str">
        <f ca="1">IFERROR(IF(0=LEN(ReferenceData!$AL$108),"",ReferenceData!$AL$108),"")</f>
        <v/>
      </c>
      <c r="AM108" t="str">
        <f ca="1">IFERROR(IF(0=LEN(ReferenceData!$AM$108),"",ReferenceData!$AM$108),"")</f>
        <v/>
      </c>
      <c r="AN108" t="str">
        <f ca="1">IFERROR(IF(0=LEN(ReferenceData!$AN$108),"",ReferenceData!$AN$108),"")</f>
        <v/>
      </c>
      <c r="AO108" t="str">
        <f ca="1">IFERROR(IF(0=LEN(ReferenceData!$AO$108),"",ReferenceData!$AO$108),"")</f>
        <v/>
      </c>
      <c r="AP108" t="str">
        <f ca="1">IFERROR(IF(0=LEN(ReferenceData!$AP$108),"",ReferenceData!$AP$108),"")</f>
        <v/>
      </c>
      <c r="AQ108" t="str">
        <f ca="1">IFERROR(IF(0=LEN(ReferenceData!$AQ$108),"",ReferenceData!$AQ$108),"")</f>
        <v/>
      </c>
      <c r="AR108" t="str">
        <f ca="1">IFERROR(IF(0=LEN(ReferenceData!$AR$108),"",ReferenceData!$AR$108),"")</f>
        <v/>
      </c>
      <c r="AS108" t="str">
        <f ca="1">IFERROR(IF(0=LEN(ReferenceData!$AS$108),"",ReferenceData!$AS$108),"")</f>
        <v/>
      </c>
      <c r="AT108" t="str">
        <f ca="1">IFERROR(IF(0=LEN(ReferenceData!$AT$108),"",ReferenceData!$AT$108),"")</f>
        <v/>
      </c>
      <c r="AU108" t="str">
        <f ca="1">IFERROR(IF(0=LEN(ReferenceData!$AU$108),"",ReferenceData!$AU$108),"")</f>
        <v/>
      </c>
      <c r="AV108" t="str">
        <f ca="1">IFERROR(IF(0=LEN(ReferenceData!$AV$108),"",ReferenceData!$AV$108),"")</f>
        <v/>
      </c>
      <c r="AW108" t="str">
        <f ca="1">IFERROR(IF(0=LEN(ReferenceData!$AW$108),"",ReferenceData!$AW$108),"")</f>
        <v/>
      </c>
      <c r="AX108" t="str">
        <f ca="1">IFERROR(IF(0=LEN(ReferenceData!$AX$108),"",ReferenceData!$AX$108),"")</f>
        <v/>
      </c>
      <c r="AY108" t="str">
        <f ca="1">IFERROR(IF(0=LEN(ReferenceData!$AY$108),"",ReferenceData!$AY$108),"")</f>
        <v/>
      </c>
      <c r="AZ108" t="str">
        <f ca="1">IFERROR(IF(0=LEN(ReferenceData!$AZ$108),"",ReferenceData!$AZ$108),"")</f>
        <v/>
      </c>
      <c r="BA108" t="str">
        <f ca="1">IFERROR(IF(0=LEN(ReferenceData!$BA$108),"",ReferenceData!$BA$108),"")</f>
        <v/>
      </c>
      <c r="BB108" t="str">
        <f ca="1">IFERROR(IF(0=LEN(ReferenceData!$BB$108),"",ReferenceData!$BB$108),"")</f>
        <v/>
      </c>
      <c r="BC108" t="str">
        <f ca="1">IFERROR(IF(0=LEN(ReferenceData!$BC$108),"",ReferenceData!$BC$108),"")</f>
        <v/>
      </c>
      <c r="BD108" t="str">
        <f ca="1">IFERROR(IF(0=LEN(ReferenceData!$BD$108),"",ReferenceData!$BD$108),"")</f>
        <v/>
      </c>
      <c r="BE108" t="str">
        <f ca="1">IFERROR(IF(0=LEN(ReferenceData!$BE$108),"",ReferenceData!$BE$108),"")</f>
        <v/>
      </c>
      <c r="BF108" t="str">
        <f ca="1">IFERROR(IF(0=LEN(ReferenceData!$BF$108),"",ReferenceData!$BF$108),"")</f>
        <v/>
      </c>
      <c r="BG108" t="str">
        <f ca="1">IFERROR(IF(0=LEN(ReferenceData!$BG$108),"",ReferenceData!$BG$108),"")</f>
        <v/>
      </c>
      <c r="BH108" t="str">
        <f ca="1">IFERROR(IF(0=LEN(ReferenceData!$BH$108),"",ReferenceData!$BH$108),"")</f>
        <v/>
      </c>
      <c r="BI108" t="str">
        <f ca="1">IFERROR(IF(0=LEN(ReferenceData!$BI$108),"",ReferenceData!$BI$108),"")</f>
        <v/>
      </c>
      <c r="BJ108" t="str">
        <f ca="1">IFERROR(IF(0=LEN(ReferenceData!$BJ$108),"",ReferenceData!$BJ$108),"")</f>
        <v/>
      </c>
      <c r="BK108" t="str">
        <f ca="1">IFERROR(IF(0=LEN(ReferenceData!$BK$108),"",ReferenceData!$BK$108),"")</f>
        <v/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>
      <c r="A109" t="str">
        <f>IFERROR(IF(0=LEN(ReferenceData!$A$109),"",ReferenceData!$A$109),"")</f>
        <v xml:space="preserve">    First Horizon Corp</v>
      </c>
      <c r="B109" t="str">
        <f>IFERROR(IF(0=LEN(ReferenceData!$B$109),"",ReferenceData!$B$109),"")</f>
        <v>FHN US Equity</v>
      </c>
      <c r="C109" t="str">
        <f>IFERROR(IF(0=LEN(ReferenceData!$C$109),"",ReferenceData!$C$109),"")</f>
        <v>BS960</v>
      </c>
      <c r="D109" t="str">
        <f>IFERROR(IF(0=LEN(ReferenceData!$D$109),"",ReferenceData!$D$109),"")</f>
        <v>BS_RESIDENT_MTG_SERVICED_OTHERS</v>
      </c>
      <c r="E109" t="str">
        <f>IFERROR(IF(0=LEN(ReferenceData!$E$109),"",ReferenceData!$E$109),"")</f>
        <v>Dynamic</v>
      </c>
      <c r="F109" t="str">
        <f ca="1">IFERROR(IF(0=LEN(ReferenceData!$F$109),"",ReferenceData!$F$109),"")</f>
        <v/>
      </c>
      <c r="G109" t="str">
        <f ca="1">IFERROR(IF(0=LEN(ReferenceData!$G$109),"",ReferenceData!$G$109),"")</f>
        <v/>
      </c>
      <c r="H109" t="str">
        <f ca="1">IFERROR(IF(0=LEN(ReferenceData!$H$109),"",ReferenceData!$H$109),"")</f>
        <v/>
      </c>
      <c r="I109" t="str">
        <f ca="1">IFERROR(IF(0=LEN(ReferenceData!$I$109),"",ReferenceData!$I$109),"")</f>
        <v/>
      </c>
      <c r="J109" t="str">
        <f ca="1">IFERROR(IF(0=LEN(ReferenceData!$J$109),"",ReferenceData!$J$109),"")</f>
        <v/>
      </c>
      <c r="K109" t="str">
        <f ca="1">IFERROR(IF(0=LEN(ReferenceData!$K$109),"",ReferenceData!$K$109),"")</f>
        <v/>
      </c>
      <c r="L109" t="str">
        <f ca="1">IFERROR(IF(0=LEN(ReferenceData!$L$109),"",ReferenceData!$L$109),"")</f>
        <v/>
      </c>
      <c r="M109" t="str">
        <f ca="1">IFERROR(IF(0=LEN(ReferenceData!$M$109),"",ReferenceData!$M$109),"")</f>
        <v/>
      </c>
      <c r="N109" t="str">
        <f ca="1">IFERROR(IF(0=LEN(ReferenceData!$N$109),"",ReferenceData!$N$109),"")</f>
        <v/>
      </c>
      <c r="O109" t="str">
        <f ca="1">IFERROR(IF(0=LEN(ReferenceData!$O$109),"",ReferenceData!$O$109),"")</f>
        <v/>
      </c>
      <c r="P109" t="str">
        <f ca="1">IFERROR(IF(0=LEN(ReferenceData!$P$109),"",ReferenceData!$P$109),"")</f>
        <v/>
      </c>
      <c r="Q109" t="str">
        <f ca="1">IFERROR(IF(0=LEN(ReferenceData!$Q$109),"",ReferenceData!$Q$109),"")</f>
        <v/>
      </c>
      <c r="R109" t="str">
        <f ca="1">IFERROR(IF(0=LEN(ReferenceData!$R$109),"",ReferenceData!$R$109),"")</f>
        <v/>
      </c>
      <c r="S109" t="str">
        <f ca="1">IFERROR(IF(0=LEN(ReferenceData!$S$109),"",ReferenceData!$S$109),"")</f>
        <v/>
      </c>
      <c r="T109" t="str">
        <f ca="1">IFERROR(IF(0=LEN(ReferenceData!$T$109),"",ReferenceData!$T$109),"")</f>
        <v/>
      </c>
      <c r="U109" t="str">
        <f ca="1">IFERROR(IF(0=LEN(ReferenceData!$U$109),"",ReferenceData!$U$109),"")</f>
        <v/>
      </c>
      <c r="V109" t="str">
        <f ca="1">IFERROR(IF(0=LEN(ReferenceData!$V$109),"",ReferenceData!$V$109),"")</f>
        <v/>
      </c>
      <c r="W109" t="str">
        <f ca="1">IFERROR(IF(0=LEN(ReferenceData!$W$109),"",ReferenceData!$W$109),"")</f>
        <v/>
      </c>
      <c r="X109" t="str">
        <f ca="1">IFERROR(IF(0=LEN(ReferenceData!$X$109),"",ReferenceData!$X$109),"")</f>
        <v/>
      </c>
      <c r="Y109" t="str">
        <f ca="1">IFERROR(IF(0=LEN(ReferenceData!$Y$109),"",ReferenceData!$Y$109),"")</f>
        <v/>
      </c>
      <c r="Z109" t="str">
        <f ca="1">IFERROR(IF(0=LEN(ReferenceData!$Z$109),"",ReferenceData!$Z$109),"")</f>
        <v/>
      </c>
      <c r="AA109" t="str">
        <f ca="1">IFERROR(IF(0=LEN(ReferenceData!$AA$109),"",ReferenceData!$AA$109),"")</f>
        <v/>
      </c>
      <c r="AB109" t="str">
        <f ca="1">IFERROR(IF(0=LEN(ReferenceData!$AB$109),"",ReferenceData!$AB$109),"")</f>
        <v/>
      </c>
      <c r="AC109" t="str">
        <f ca="1">IFERROR(IF(0=LEN(ReferenceData!$AC$109),"",ReferenceData!$AC$109),"")</f>
        <v/>
      </c>
      <c r="AD109" t="str">
        <f ca="1">IFERROR(IF(0=LEN(ReferenceData!$AD$109),"",ReferenceData!$AD$109),"")</f>
        <v/>
      </c>
      <c r="AE109" t="str">
        <f ca="1">IFERROR(IF(0=LEN(ReferenceData!$AE$109),"",ReferenceData!$AE$109),"")</f>
        <v/>
      </c>
      <c r="AF109" t="str">
        <f ca="1">IFERROR(IF(0=LEN(ReferenceData!$AF$109),"",ReferenceData!$AF$109),"")</f>
        <v/>
      </c>
      <c r="AG109" t="str">
        <f ca="1">IFERROR(IF(0=LEN(ReferenceData!$AG$109),"",ReferenceData!$AG$109),"")</f>
        <v/>
      </c>
      <c r="AH109" t="str">
        <f ca="1">IFERROR(IF(0=LEN(ReferenceData!$AH$109),"",ReferenceData!$AH$109),"")</f>
        <v/>
      </c>
      <c r="AI109" t="str">
        <f ca="1">IFERROR(IF(0=LEN(ReferenceData!$AI$109),"",ReferenceData!$AI$109),"")</f>
        <v/>
      </c>
      <c r="AJ109" t="str">
        <f ca="1">IFERROR(IF(0=LEN(ReferenceData!$AJ$109),"",ReferenceData!$AJ$109),"")</f>
        <v/>
      </c>
      <c r="AK109" t="str">
        <f ca="1">IFERROR(IF(0=LEN(ReferenceData!$AK$109),"",ReferenceData!$AK$109),"")</f>
        <v/>
      </c>
      <c r="AL109" t="str">
        <f ca="1">IFERROR(IF(0=LEN(ReferenceData!$AL$109),"",ReferenceData!$AL$109),"")</f>
        <v/>
      </c>
      <c r="AM109" t="str">
        <f ca="1">IFERROR(IF(0=LEN(ReferenceData!$AM$109),"",ReferenceData!$AM$109),"")</f>
        <v/>
      </c>
      <c r="AN109" t="str">
        <f ca="1">IFERROR(IF(0=LEN(ReferenceData!$AN$109),"",ReferenceData!$AN$109),"")</f>
        <v/>
      </c>
      <c r="AO109" t="str">
        <f ca="1">IFERROR(IF(0=LEN(ReferenceData!$AO$109),"",ReferenceData!$AO$109),"")</f>
        <v/>
      </c>
      <c r="AP109" t="str">
        <f ca="1">IFERROR(IF(0=LEN(ReferenceData!$AP$109),"",ReferenceData!$AP$109),"")</f>
        <v/>
      </c>
      <c r="AQ109" t="str">
        <f ca="1">IFERROR(IF(0=LEN(ReferenceData!$AQ$109),"",ReferenceData!$AQ$109),"")</f>
        <v/>
      </c>
      <c r="AR109" t="str">
        <f ca="1">IFERROR(IF(0=LEN(ReferenceData!$AR$109),"",ReferenceData!$AR$109),"")</f>
        <v/>
      </c>
      <c r="AS109" t="str">
        <f ca="1">IFERROR(IF(0=LEN(ReferenceData!$AS$109),"",ReferenceData!$AS$109),"")</f>
        <v/>
      </c>
      <c r="AT109" t="str">
        <f ca="1">IFERROR(IF(0=LEN(ReferenceData!$AT$109),"",ReferenceData!$AT$109),"")</f>
        <v/>
      </c>
      <c r="AU109" t="str">
        <f ca="1">IFERROR(IF(0=LEN(ReferenceData!$AU$109),"",ReferenceData!$AU$109),"")</f>
        <v/>
      </c>
      <c r="AV109" t="str">
        <f ca="1">IFERROR(IF(0=LEN(ReferenceData!$AV$109),"",ReferenceData!$AV$109),"")</f>
        <v/>
      </c>
      <c r="AW109" t="str">
        <f ca="1">IFERROR(IF(0=LEN(ReferenceData!$AW$109),"",ReferenceData!$AW$109),"")</f>
        <v/>
      </c>
      <c r="AX109" t="str">
        <f ca="1">IFERROR(IF(0=LEN(ReferenceData!$AX$109),"",ReferenceData!$AX$109),"")</f>
        <v/>
      </c>
      <c r="AY109" t="str">
        <f ca="1">IFERROR(IF(0=LEN(ReferenceData!$AY$109),"",ReferenceData!$AY$109),"")</f>
        <v/>
      </c>
      <c r="AZ109" t="str">
        <f ca="1">IFERROR(IF(0=LEN(ReferenceData!$AZ$109),"",ReferenceData!$AZ$109),"")</f>
        <v/>
      </c>
      <c r="BA109" t="str">
        <f ca="1">IFERROR(IF(0=LEN(ReferenceData!$BA$109),"",ReferenceData!$BA$109),"")</f>
        <v/>
      </c>
      <c r="BB109" t="str">
        <f ca="1">IFERROR(IF(0=LEN(ReferenceData!$BB$109),"",ReferenceData!$BB$109),"")</f>
        <v/>
      </c>
      <c r="BC109" t="str">
        <f ca="1">IFERROR(IF(0=LEN(ReferenceData!$BC$109),"",ReferenceData!$BC$109),"")</f>
        <v/>
      </c>
      <c r="BD109" t="str">
        <f ca="1">IFERROR(IF(0=LEN(ReferenceData!$BD$109),"",ReferenceData!$BD$109),"")</f>
        <v/>
      </c>
      <c r="BE109" t="str">
        <f ca="1">IFERROR(IF(0=LEN(ReferenceData!$BE$109),"",ReferenceData!$BE$109),"")</f>
        <v/>
      </c>
      <c r="BF109" t="str">
        <f ca="1">IFERROR(IF(0=LEN(ReferenceData!$BF$109),"",ReferenceData!$BF$109),"")</f>
        <v/>
      </c>
      <c r="BG109" t="str">
        <f ca="1">IFERROR(IF(0=LEN(ReferenceData!$BG$109),"",ReferenceData!$BG$109),"")</f>
        <v/>
      </c>
      <c r="BH109" t="str">
        <f ca="1">IFERROR(IF(0=LEN(ReferenceData!$BH$109),"",ReferenceData!$BH$109),"")</f>
        <v/>
      </c>
      <c r="BI109" t="str">
        <f ca="1">IFERROR(IF(0=LEN(ReferenceData!$BI$109),"",ReferenceData!$BI$109),"")</f>
        <v/>
      </c>
      <c r="BJ109" t="str">
        <f ca="1">IFERROR(IF(0=LEN(ReferenceData!$BJ$109),"",ReferenceData!$BJ$109),"")</f>
        <v/>
      </c>
      <c r="BK109" t="str">
        <f ca="1">IFERROR(IF(0=LEN(ReferenceData!$BK$109),"",ReferenceData!$BK$109),"")</f>
        <v/>
      </c>
      <c r="BL109" t="str">
        <f ca="1">IFERROR(IF(0=LEN(ReferenceData!$BL$109),"",ReferenceData!$BL$109),"")</f>
        <v/>
      </c>
      <c r="BM109" t="str">
        <f ca="1">IFERROR(IF(0=LEN(ReferenceData!$BM$109),"",ReferenceData!$BM$109),"")</f>
        <v/>
      </c>
    </row>
    <row r="110" spans="1:65">
      <c r="A110" t="str">
        <f>IFERROR(IF(0=LEN(ReferenceData!$A$110),"",ReferenceData!$A$110),"")</f>
        <v xml:space="preserve">    First Republic Bank/CA</v>
      </c>
      <c r="B110" t="str">
        <f>IFERROR(IF(0=LEN(ReferenceData!$B$110),"",ReferenceData!$B$110),"")</f>
        <v>FRCB US Equity</v>
      </c>
      <c r="C110" t="str">
        <f>IFERROR(IF(0=LEN(ReferenceData!$C$110),"",ReferenceData!$C$110),"")</f>
        <v>BS960</v>
      </c>
      <c r="D110" t="str">
        <f>IFERROR(IF(0=LEN(ReferenceData!$D$110),"",ReferenceData!$D$110),"")</f>
        <v>BS_RESIDENT_MTG_SERVICED_OTHERS</v>
      </c>
      <c r="E110" t="str">
        <f>IFERROR(IF(0=LEN(ReferenceData!$E$110),"",ReferenceData!$E$110),"")</f>
        <v>Dynamic</v>
      </c>
      <c r="F110" t="str">
        <f ca="1">IFERROR(IF(0=LEN(ReferenceData!$F$110),"",ReferenceData!$F$110),"")</f>
        <v/>
      </c>
      <c r="G110" t="str">
        <f ca="1">IFERROR(IF(0=LEN(ReferenceData!$G$110),"",ReferenceData!$G$110),"")</f>
        <v/>
      </c>
      <c r="H110" t="str">
        <f ca="1">IFERROR(IF(0=LEN(ReferenceData!$H$110),"",ReferenceData!$H$110),"")</f>
        <v/>
      </c>
      <c r="I110" t="str">
        <f ca="1">IFERROR(IF(0=LEN(ReferenceData!$I$110),"",ReferenceData!$I$110),"")</f>
        <v/>
      </c>
      <c r="J110" t="str">
        <f ca="1">IFERROR(IF(0=LEN(ReferenceData!$J$110),"",ReferenceData!$J$110),"")</f>
        <v/>
      </c>
      <c r="K110" t="str">
        <f ca="1">IFERROR(IF(0=LEN(ReferenceData!$K$110),"",ReferenceData!$K$110),"")</f>
        <v/>
      </c>
      <c r="L110" t="str">
        <f ca="1">IFERROR(IF(0=LEN(ReferenceData!$L$110),"",ReferenceData!$L$110),"")</f>
        <v/>
      </c>
      <c r="M110" t="str">
        <f ca="1">IFERROR(IF(0=LEN(ReferenceData!$M$110),"",ReferenceData!$M$110),"")</f>
        <v/>
      </c>
      <c r="N110" t="str">
        <f ca="1">IFERROR(IF(0=LEN(ReferenceData!$N$110),"",ReferenceData!$N$110),"")</f>
        <v/>
      </c>
      <c r="O110" t="str">
        <f ca="1">IFERROR(IF(0=LEN(ReferenceData!$O$110),"",ReferenceData!$O$110),"")</f>
        <v/>
      </c>
      <c r="P110" t="str">
        <f ca="1">IFERROR(IF(0=LEN(ReferenceData!$P$110),"",ReferenceData!$P$110),"")</f>
        <v/>
      </c>
      <c r="Q110" t="str">
        <f ca="1">IFERROR(IF(0=LEN(ReferenceData!$Q$110),"",ReferenceData!$Q$110),"")</f>
        <v/>
      </c>
      <c r="R110" t="str">
        <f ca="1">IFERROR(IF(0=LEN(ReferenceData!$R$110),"",ReferenceData!$R$110),"")</f>
        <v/>
      </c>
      <c r="S110" t="str">
        <f ca="1">IFERROR(IF(0=LEN(ReferenceData!$S$110),"",ReferenceData!$S$110),"")</f>
        <v/>
      </c>
      <c r="T110" t="str">
        <f ca="1">IFERROR(IF(0=LEN(ReferenceData!$T$110),"",ReferenceData!$T$110),"")</f>
        <v/>
      </c>
      <c r="U110" t="str">
        <f ca="1">IFERROR(IF(0=LEN(ReferenceData!$U$110),"",ReferenceData!$U$110),"")</f>
        <v/>
      </c>
      <c r="V110" t="str">
        <f ca="1">IFERROR(IF(0=LEN(ReferenceData!$V$110),"",ReferenceData!$V$110),"")</f>
        <v/>
      </c>
      <c r="W110" t="str">
        <f ca="1">IFERROR(IF(0=LEN(ReferenceData!$W$110),"",ReferenceData!$W$110),"")</f>
        <v/>
      </c>
      <c r="X110" t="str">
        <f ca="1">IFERROR(IF(0=LEN(ReferenceData!$X$110),"",ReferenceData!$X$110),"")</f>
        <v/>
      </c>
      <c r="Y110" t="str">
        <f ca="1">IFERROR(IF(0=LEN(ReferenceData!$Y$110),"",ReferenceData!$Y$110),"")</f>
        <v/>
      </c>
      <c r="Z110" t="str">
        <f ca="1">IFERROR(IF(0=LEN(ReferenceData!$Z$110),"",ReferenceData!$Z$110),"")</f>
        <v/>
      </c>
      <c r="AA110" t="str">
        <f ca="1">IFERROR(IF(0=LEN(ReferenceData!$AA$110),"",ReferenceData!$AA$110),"")</f>
        <v/>
      </c>
      <c r="AB110" t="str">
        <f ca="1">IFERROR(IF(0=LEN(ReferenceData!$AB$110),"",ReferenceData!$AB$110),"")</f>
        <v/>
      </c>
      <c r="AC110" t="str">
        <f ca="1">IFERROR(IF(0=LEN(ReferenceData!$AC$110),"",ReferenceData!$AC$110),"")</f>
        <v/>
      </c>
      <c r="AD110" t="str">
        <f ca="1">IFERROR(IF(0=LEN(ReferenceData!$AD$110),"",ReferenceData!$AD$110),"")</f>
        <v/>
      </c>
      <c r="AE110" t="str">
        <f ca="1">IFERROR(IF(0=LEN(ReferenceData!$AE$110),"",ReferenceData!$AE$110),"")</f>
        <v/>
      </c>
      <c r="AF110" t="str">
        <f ca="1">IFERROR(IF(0=LEN(ReferenceData!$AF$110),"",ReferenceData!$AF$110),"")</f>
        <v/>
      </c>
      <c r="AG110" t="str">
        <f ca="1">IFERROR(IF(0=LEN(ReferenceData!$AG$110),"",ReferenceData!$AG$110),"")</f>
        <v/>
      </c>
      <c r="AH110" t="str">
        <f ca="1">IFERROR(IF(0=LEN(ReferenceData!$AH$110),"",ReferenceData!$AH$110),"")</f>
        <v/>
      </c>
      <c r="AI110" t="str">
        <f ca="1">IFERROR(IF(0=LEN(ReferenceData!$AI$110),"",ReferenceData!$AI$110),"")</f>
        <v/>
      </c>
      <c r="AJ110" t="str">
        <f ca="1">IFERROR(IF(0=LEN(ReferenceData!$AJ$110),"",ReferenceData!$AJ$110),"")</f>
        <v/>
      </c>
      <c r="AK110" t="str">
        <f ca="1">IFERROR(IF(0=LEN(ReferenceData!$AK$110),"",ReferenceData!$AK$110),"")</f>
        <v/>
      </c>
      <c r="AL110" t="str">
        <f ca="1">IFERROR(IF(0=LEN(ReferenceData!$AL$110),"",ReferenceData!$AL$110),"")</f>
        <v/>
      </c>
      <c r="AM110" t="str">
        <f ca="1">IFERROR(IF(0=LEN(ReferenceData!$AM$110),"",ReferenceData!$AM$110),"")</f>
        <v/>
      </c>
      <c r="AN110" t="str">
        <f ca="1">IFERROR(IF(0=LEN(ReferenceData!$AN$110),"",ReferenceData!$AN$110),"")</f>
        <v/>
      </c>
      <c r="AO110" t="str">
        <f ca="1">IFERROR(IF(0=LEN(ReferenceData!$AO$110),"",ReferenceData!$AO$110),"")</f>
        <v/>
      </c>
      <c r="AP110" t="str">
        <f ca="1">IFERROR(IF(0=LEN(ReferenceData!$AP$110),"",ReferenceData!$AP$110),"")</f>
        <v/>
      </c>
      <c r="AQ110" t="str">
        <f ca="1">IFERROR(IF(0=LEN(ReferenceData!$AQ$110),"",ReferenceData!$AQ$110),"")</f>
        <v/>
      </c>
      <c r="AR110" t="str">
        <f ca="1">IFERROR(IF(0=LEN(ReferenceData!$AR$110),"",ReferenceData!$AR$110),"")</f>
        <v/>
      </c>
      <c r="AS110" t="str">
        <f ca="1">IFERROR(IF(0=LEN(ReferenceData!$AS$110),"",ReferenceData!$AS$110),"")</f>
        <v/>
      </c>
      <c r="AT110" t="str">
        <f ca="1">IFERROR(IF(0=LEN(ReferenceData!$AT$110),"",ReferenceData!$AT$110),"")</f>
        <v/>
      </c>
      <c r="AU110" t="str">
        <f ca="1">IFERROR(IF(0=LEN(ReferenceData!$AU$110),"",ReferenceData!$AU$110),"")</f>
        <v/>
      </c>
      <c r="AV110" t="str">
        <f ca="1">IFERROR(IF(0=LEN(ReferenceData!$AV$110),"",ReferenceData!$AV$110),"")</f>
        <v/>
      </c>
      <c r="AW110" t="str">
        <f ca="1">IFERROR(IF(0=LEN(ReferenceData!$AW$110),"",ReferenceData!$AW$110),"")</f>
        <v/>
      </c>
      <c r="AX110" t="str">
        <f ca="1">IFERROR(IF(0=LEN(ReferenceData!$AX$110),"",ReferenceData!$AX$110),"")</f>
        <v/>
      </c>
      <c r="AY110" t="str">
        <f ca="1">IFERROR(IF(0=LEN(ReferenceData!$AY$110),"",ReferenceData!$AY$110),"")</f>
        <v/>
      </c>
      <c r="AZ110" t="str">
        <f ca="1">IFERROR(IF(0=LEN(ReferenceData!$AZ$110),"",ReferenceData!$AZ$110),"")</f>
        <v/>
      </c>
      <c r="BA110" t="str">
        <f ca="1">IFERROR(IF(0=LEN(ReferenceData!$BA$110),"",ReferenceData!$BA$110),"")</f>
        <v/>
      </c>
      <c r="BB110" t="str">
        <f ca="1">IFERROR(IF(0=LEN(ReferenceData!$BB$110),"",ReferenceData!$BB$110),"")</f>
        <v/>
      </c>
      <c r="BC110" t="str">
        <f ca="1">IFERROR(IF(0=LEN(ReferenceData!$BC$110),"",ReferenceData!$BC$110),"")</f>
        <v/>
      </c>
      <c r="BD110" t="str">
        <f ca="1">IFERROR(IF(0=LEN(ReferenceData!$BD$110),"",ReferenceData!$BD$110),"")</f>
        <v/>
      </c>
      <c r="BE110" t="str">
        <f ca="1">IFERROR(IF(0=LEN(ReferenceData!$BE$110),"",ReferenceData!$BE$110),"")</f>
        <v/>
      </c>
      <c r="BF110" t="str">
        <f ca="1">IFERROR(IF(0=LEN(ReferenceData!$BF$110),"",ReferenceData!$BF$110),"")</f>
        <v/>
      </c>
      <c r="BG110" t="str">
        <f ca="1">IFERROR(IF(0=LEN(ReferenceData!$BG$110),"",ReferenceData!$BG$110),"")</f>
        <v/>
      </c>
      <c r="BH110" t="str">
        <f ca="1">IFERROR(IF(0=LEN(ReferenceData!$BH$110),"",ReferenceData!$BH$110),"")</f>
        <v/>
      </c>
      <c r="BI110" t="str">
        <f ca="1">IFERROR(IF(0=LEN(ReferenceData!$BI$110),"",ReferenceData!$BI$110),"")</f>
        <v/>
      </c>
      <c r="BJ110" t="str">
        <f ca="1">IFERROR(IF(0=LEN(ReferenceData!$BJ$110),"",ReferenceData!$BJ$110),"")</f>
        <v/>
      </c>
      <c r="BK110" t="str">
        <f ca="1">IFERROR(IF(0=LEN(ReferenceData!$BK$110),"",ReferenceData!$BK$110),"")</f>
        <v/>
      </c>
      <c r="BL110" t="str">
        <f ca="1">IFERROR(IF(0=LEN(ReferenceData!$BL$110),"",ReferenceData!$BL$110),"")</f>
        <v/>
      </c>
      <c r="BM110" t="str">
        <f ca="1">IFERROR(IF(0=LEN(ReferenceData!$BM$110),"",ReferenceData!$BM$110),"")</f>
        <v/>
      </c>
    </row>
    <row r="111" spans="1:65">
      <c r="A111" t="str">
        <f>IFERROR(IF(0=LEN(ReferenceData!$A$111),"",ReferenceData!$A$111),"")</f>
        <v xml:space="preserve">    Fifth Third Bancorp</v>
      </c>
      <c r="B111" t="str">
        <f>IFERROR(IF(0=LEN(ReferenceData!$B$111),"",ReferenceData!$B$111),"")</f>
        <v>FITB US Equity</v>
      </c>
      <c r="C111" t="str">
        <f>IFERROR(IF(0=LEN(ReferenceData!$C$111),"",ReferenceData!$C$111),"")</f>
        <v>BS960</v>
      </c>
      <c r="D111" t="str">
        <f>IFERROR(IF(0=LEN(ReferenceData!$D$111),"",ReferenceData!$D$111),"")</f>
        <v>BS_RESIDENT_MTG_SERVICED_OTHERS</v>
      </c>
      <c r="E111" t="str">
        <f>IFERROR(IF(0=LEN(ReferenceData!$E$111),"",ReferenceData!$E$111),"")</f>
        <v>Dynamic</v>
      </c>
      <c r="F111">
        <f ca="1">IFERROR(IF(0=LEN(ReferenceData!$F$111),"",ReferenceData!$F$111),"")</f>
        <v>94225</v>
      </c>
      <c r="G111">
        <f ca="1">IFERROR(IF(0=LEN(ReferenceData!$G$111),"",ReferenceData!$G$111),"")</f>
        <v>95808</v>
      </c>
      <c r="H111">
        <f ca="1">IFERROR(IF(0=LEN(ReferenceData!$H$111),"",ReferenceData!$H$111),"")</f>
        <v>97280</v>
      </c>
      <c r="I111">
        <f ca="1">IFERROR(IF(0=LEN(ReferenceData!$I$111),"",ReferenceData!$I$111),"")</f>
        <v>99596</v>
      </c>
      <c r="J111">
        <f ca="1">IFERROR(IF(0=LEN(ReferenceData!$J$111),"",ReferenceData!$J$111),"")</f>
        <v>100842</v>
      </c>
      <c r="K111">
        <f ca="1">IFERROR(IF(0=LEN(ReferenceData!$K$111),"",ReferenceData!$K$111),"")</f>
        <v>101889</v>
      </c>
      <c r="L111">
        <f ca="1">IFERROR(IF(0=LEN(ReferenceData!$L$111),"",ReferenceData!$L$111),"")</f>
        <v>102817</v>
      </c>
      <c r="M111">
        <f ca="1">IFERROR(IF(0=LEN(ReferenceData!$M$111),"",ReferenceData!$M$111),"")</f>
        <v>103399</v>
      </c>
      <c r="N111">
        <f ca="1">IFERROR(IF(0=LEN(ReferenceData!$N$111),"",ReferenceData!$N$111),"")</f>
        <v>103154</v>
      </c>
      <c r="O111">
        <f ca="1">IFERROR(IF(0=LEN(ReferenceData!$O$111),"",ReferenceData!$O$111),"")</f>
        <v>102696</v>
      </c>
      <c r="P111">
        <f ca="1">IFERROR(IF(0=LEN(ReferenceData!$P$111),"",ReferenceData!$P$111),"")</f>
        <v>100519</v>
      </c>
      <c r="Q111">
        <f ca="1">IFERROR(IF(0=LEN(ReferenceData!$Q$111),"",ReferenceData!$Q$111),"")</f>
        <v>97736</v>
      </c>
      <c r="R111">
        <f ca="1">IFERROR(IF(0=LEN(ReferenceData!$R$111),"",ReferenceData!$R$111),"")</f>
        <v>89234</v>
      </c>
      <c r="S111">
        <f ca="1">IFERROR(IF(0=LEN(ReferenceData!$S$111),"",ReferenceData!$S$111),"")</f>
        <v>77900</v>
      </c>
      <c r="T111">
        <f ca="1">IFERROR(IF(0=LEN(ReferenceData!$T$111),"",ReferenceData!$T$111),"")</f>
        <v>71.5</v>
      </c>
      <c r="U111">
        <f ca="1">IFERROR(IF(0=LEN(ReferenceData!$U$111),"",ReferenceData!$U$111),"")</f>
        <v>65922</v>
      </c>
      <c r="V111">
        <f ca="1">IFERROR(IF(0=LEN(ReferenceData!$V$111),"",ReferenceData!$V$111),"")</f>
        <v>68800</v>
      </c>
      <c r="W111">
        <f ca="1">IFERROR(IF(0=LEN(ReferenceData!$W$111),"",ReferenceData!$W$111),"")</f>
        <v>73500</v>
      </c>
      <c r="X111">
        <f ca="1">IFERROR(IF(0=LEN(ReferenceData!$X$111),"",ReferenceData!$X$111),"")</f>
        <v>78800</v>
      </c>
      <c r="Y111">
        <f ca="1">IFERROR(IF(0=LEN(ReferenceData!$Y$111),"",ReferenceData!$Y$111),"")</f>
        <v>81901</v>
      </c>
      <c r="Z111">
        <f ca="1">IFERROR(IF(0=LEN(ReferenceData!$Z$111),"",ReferenceData!$Z$111),"")</f>
        <v>80734</v>
      </c>
      <c r="AA111">
        <f ca="1">IFERROR(IF(0=LEN(ReferenceData!$AA$111),"",ReferenceData!$AA$111),"")</f>
        <v>16736</v>
      </c>
      <c r="AB111">
        <f ca="1">IFERROR(IF(0=LEN(ReferenceData!$AB$111),"",ReferenceData!$AB$111),"")</f>
        <v>102400</v>
      </c>
      <c r="AC111">
        <f ca="1">IFERROR(IF(0=LEN(ReferenceData!$AC$111),"",ReferenceData!$AC$111),"")</f>
        <v>83900</v>
      </c>
      <c r="AD111">
        <f ca="1">IFERROR(IF(0=LEN(ReferenceData!$AD$111),"",ReferenceData!$AD$111),"")</f>
        <v>63154</v>
      </c>
      <c r="AE111">
        <f ca="1">IFERROR(IF(0=LEN(ReferenceData!$AE$111),"",ReferenceData!$AE$111),"")</f>
        <v>64000</v>
      </c>
      <c r="AF111">
        <f ca="1">IFERROR(IF(0=LEN(ReferenceData!$AF$111),"",ReferenceData!$AF$111),"")</f>
        <v>62200</v>
      </c>
      <c r="AG111">
        <f ca="1">IFERROR(IF(0=LEN(ReferenceData!$AG$111),"",ReferenceData!$AG$111),"")</f>
        <v>60973</v>
      </c>
      <c r="AH111">
        <f ca="1">IFERROR(IF(0=LEN(ReferenceData!$AH$111),"",ReferenceData!$AH$111),"")</f>
        <v>60021</v>
      </c>
      <c r="AI111">
        <f ca="1">IFERROR(IF(0=LEN(ReferenceData!$AI$111),"",ReferenceData!$AI$111),"")</f>
        <v>60800</v>
      </c>
      <c r="AJ111">
        <f ca="1">IFERROR(IF(0=LEN(ReferenceData!$AJ$111),"",ReferenceData!$AJ$111),"")</f>
        <v>61800</v>
      </c>
      <c r="AK111">
        <f ca="1">IFERROR(IF(0=LEN(ReferenceData!$AK$111),"",ReferenceData!$AK$111),"")</f>
        <v>55413</v>
      </c>
      <c r="AL111">
        <f ca="1">IFERROR(IF(0=LEN(ReferenceData!$AL$111),"",ReferenceData!$AL$111),"")</f>
        <v>53554</v>
      </c>
      <c r="AM111">
        <f ca="1">IFERROR(IF(0=LEN(ReferenceData!$AM$111),"",ReferenceData!$AM$111),"")</f>
        <v>54600</v>
      </c>
      <c r="AN111">
        <f ca="1">IFERROR(IF(0=LEN(ReferenceData!$AN$111),"",ReferenceData!$AN$111),"")</f>
        <v>56200</v>
      </c>
      <c r="AO111">
        <f ca="1">IFERROR(IF(0=LEN(ReferenceData!$AO$111),"",ReferenceData!$AO$111),"")</f>
        <v>57800</v>
      </c>
      <c r="AP111">
        <f ca="1">IFERROR(IF(0=LEN(ReferenceData!$AP$111),"",ReferenceData!$AP$111),"")</f>
        <v>59000</v>
      </c>
      <c r="AQ111">
        <f ca="1">IFERROR(IF(0=LEN(ReferenceData!$AQ$111),"",ReferenceData!$AQ$111),"")</f>
        <v>60300</v>
      </c>
      <c r="AR111">
        <f ca="1">IFERROR(IF(0=LEN(ReferenceData!$AR$111),"",ReferenceData!$AR$111),"")</f>
        <v>61700</v>
      </c>
      <c r="AS111">
        <f ca="1">IFERROR(IF(0=LEN(ReferenceData!$AS$111),"",ReferenceData!$AS$111),"")</f>
        <v>64.2</v>
      </c>
      <c r="AT111">
        <f ca="1">IFERROR(IF(0=LEN(ReferenceData!$AT$111),"",ReferenceData!$AT$111),"")</f>
        <v>65400</v>
      </c>
      <c r="AU111">
        <f ca="1">IFERROR(IF(0=LEN(ReferenceData!$AU$111),"",ReferenceData!$AU$111),"")</f>
        <v>66808</v>
      </c>
      <c r="AV111">
        <f ca="1">IFERROR(IF(0=LEN(ReferenceData!$AV$111),"",ReferenceData!$AV$111),"")</f>
        <v>68100</v>
      </c>
      <c r="AW111">
        <f ca="1">IFERROR(IF(0=LEN(ReferenceData!$AW$111),"",ReferenceData!$AW$111),"")</f>
        <v>68900</v>
      </c>
      <c r="AX111">
        <f ca="1">IFERROR(IF(0=LEN(ReferenceData!$AX$111),"",ReferenceData!$AX$111),"")</f>
        <v>69200</v>
      </c>
      <c r="AY111">
        <f ca="1">IFERROR(IF(0=LEN(ReferenceData!$AY$111),"",ReferenceData!$AY$111),"")</f>
        <v>69000</v>
      </c>
      <c r="AZ111">
        <f ca="1">IFERROR(IF(0=LEN(ReferenceData!$AZ$111),"",ReferenceData!$AZ$111),"")</f>
        <v>67200</v>
      </c>
      <c r="BA111">
        <f ca="1">IFERROR(IF(0=LEN(ReferenceData!$BA$111),"",ReferenceData!$BA$111),"")</f>
        <v>64800</v>
      </c>
      <c r="BB111">
        <f ca="1">IFERROR(IF(0=LEN(ReferenceData!$BB$111),"",ReferenceData!$BB$111),"")</f>
        <v>62500</v>
      </c>
      <c r="BC111">
        <f ca="1">IFERROR(IF(0=LEN(ReferenceData!$BC$111),"",ReferenceData!$BC$111),"")</f>
        <v>62400</v>
      </c>
      <c r="BD111">
        <f ca="1">IFERROR(IF(0=LEN(ReferenceData!$BD$111),"",ReferenceData!$BD$111),"")</f>
        <v>61600</v>
      </c>
      <c r="BE111">
        <f ca="1">IFERROR(IF(0=LEN(ReferenceData!$BE$111),"",ReferenceData!$BE$111),"")</f>
        <v>60400</v>
      </c>
      <c r="BF111">
        <f ca="1">IFERROR(IF(0=LEN(ReferenceData!$BF$111),"",ReferenceData!$BF$111),"")</f>
        <v>57100</v>
      </c>
      <c r="BG111">
        <f ca="1">IFERROR(IF(0=LEN(ReferenceData!$BG$111),"",ReferenceData!$BG$111),"")</f>
        <v>56500</v>
      </c>
      <c r="BH111">
        <f ca="1">IFERROR(IF(0=LEN(ReferenceData!$BH$111),"",ReferenceData!$BH$111),"")</f>
        <v>56000</v>
      </c>
      <c r="BI111">
        <f ca="1">IFERROR(IF(0=LEN(ReferenceData!$BI$111),"",ReferenceData!$BI$111),"")</f>
        <v>55400</v>
      </c>
      <c r="BJ111">
        <f ca="1">IFERROR(IF(0=LEN(ReferenceData!$BJ$111),"",ReferenceData!$BJ$111),"")</f>
        <v>54200</v>
      </c>
      <c r="BK111">
        <f ca="1">IFERROR(IF(0=LEN(ReferenceData!$BK$111),"",ReferenceData!$BK$111),"")</f>
        <v>52400</v>
      </c>
      <c r="BL111">
        <f ca="1">IFERROR(IF(0=LEN(ReferenceData!$BL$111),"",ReferenceData!$BL$111),"")</f>
        <v>51300</v>
      </c>
      <c r="BM111" t="str">
        <f ca="1">IFERROR(IF(0=LEN(ReferenceData!$BM$111),"",ReferenceData!$BM$111),"")</f>
        <v/>
      </c>
    </row>
    <row r="112" spans="1:65">
      <c r="A112" t="str">
        <f>IFERROR(IF(0=LEN(ReferenceData!$A$112),"",ReferenceData!$A$112),"")</f>
        <v xml:space="preserve">    First Citizens BancShares Inc/</v>
      </c>
      <c r="B112" t="str">
        <f>IFERROR(IF(0=LEN(ReferenceData!$B$112),"",ReferenceData!$B$112),"")</f>
        <v>FCNCA US Equity</v>
      </c>
      <c r="C112" t="str">
        <f>IFERROR(IF(0=LEN(ReferenceData!$C$112),"",ReferenceData!$C$112),"")</f>
        <v>BS960</v>
      </c>
      <c r="D112" t="str">
        <f>IFERROR(IF(0=LEN(ReferenceData!$D$112),"",ReferenceData!$D$112),"")</f>
        <v>BS_RESIDENT_MTG_SERVICED_OTHERS</v>
      </c>
      <c r="E112" t="str">
        <f>IFERROR(IF(0=LEN(ReferenceData!$E$112),"",ReferenceData!$E$112),"")</f>
        <v>Dynamic</v>
      </c>
      <c r="F112" t="str">
        <f ca="1">IFERROR(IF(0=LEN(ReferenceData!$F$112),"",ReferenceData!$F$112),"")</f>
        <v/>
      </c>
      <c r="G112" t="str">
        <f ca="1">IFERROR(IF(0=LEN(ReferenceData!$G$112),"",ReferenceData!$G$112),"")</f>
        <v/>
      </c>
      <c r="H112" t="str">
        <f ca="1">IFERROR(IF(0=LEN(ReferenceData!$H$112),"",ReferenceData!$H$112),"")</f>
        <v/>
      </c>
      <c r="I112" t="str">
        <f ca="1">IFERROR(IF(0=LEN(ReferenceData!$I$112),"",ReferenceData!$I$112),"")</f>
        <v/>
      </c>
      <c r="J112" t="str">
        <f ca="1">IFERROR(IF(0=LEN(ReferenceData!$J$112),"",ReferenceData!$J$112),"")</f>
        <v/>
      </c>
      <c r="K112" t="str">
        <f ca="1">IFERROR(IF(0=LEN(ReferenceData!$K$112),"",ReferenceData!$K$112),"")</f>
        <v/>
      </c>
      <c r="L112" t="str">
        <f ca="1">IFERROR(IF(0=LEN(ReferenceData!$L$112),"",ReferenceData!$L$112),"")</f>
        <v/>
      </c>
      <c r="M112" t="str">
        <f ca="1">IFERROR(IF(0=LEN(ReferenceData!$M$112),"",ReferenceData!$M$112),"")</f>
        <v/>
      </c>
      <c r="N112" t="str">
        <f ca="1">IFERROR(IF(0=LEN(ReferenceData!$N$112),"",ReferenceData!$N$112),"")</f>
        <v/>
      </c>
      <c r="O112" t="str">
        <f ca="1">IFERROR(IF(0=LEN(ReferenceData!$O$112),"",ReferenceData!$O$112),"")</f>
        <v/>
      </c>
      <c r="P112" t="str">
        <f ca="1">IFERROR(IF(0=LEN(ReferenceData!$P$112),"",ReferenceData!$P$112),"")</f>
        <v/>
      </c>
      <c r="Q112" t="str">
        <f ca="1">IFERROR(IF(0=LEN(ReferenceData!$Q$112),"",ReferenceData!$Q$112),"")</f>
        <v/>
      </c>
      <c r="R112" t="str">
        <f ca="1">IFERROR(IF(0=LEN(ReferenceData!$R$112),"",ReferenceData!$R$112),"")</f>
        <v/>
      </c>
      <c r="S112" t="str">
        <f ca="1">IFERROR(IF(0=LEN(ReferenceData!$S$112),"",ReferenceData!$S$112),"")</f>
        <v/>
      </c>
      <c r="T112" t="str">
        <f ca="1">IFERROR(IF(0=LEN(ReferenceData!$T$112),"",ReferenceData!$T$112),"")</f>
        <v/>
      </c>
      <c r="U112" t="str">
        <f ca="1">IFERROR(IF(0=LEN(ReferenceData!$U$112),"",ReferenceData!$U$112),"")</f>
        <v/>
      </c>
      <c r="V112" t="str">
        <f ca="1">IFERROR(IF(0=LEN(ReferenceData!$V$112),"",ReferenceData!$V$112),"")</f>
        <v/>
      </c>
      <c r="W112" t="str">
        <f ca="1">IFERROR(IF(0=LEN(ReferenceData!$W$112),"",ReferenceData!$W$112),"")</f>
        <v/>
      </c>
      <c r="X112" t="str">
        <f ca="1">IFERROR(IF(0=LEN(ReferenceData!$X$112),"",ReferenceData!$X$112),"")</f>
        <v/>
      </c>
      <c r="Y112" t="str">
        <f ca="1">IFERROR(IF(0=LEN(ReferenceData!$Y$112),"",ReferenceData!$Y$112),"")</f>
        <v/>
      </c>
      <c r="Z112" t="str">
        <f ca="1">IFERROR(IF(0=LEN(ReferenceData!$Z$112),"",ReferenceData!$Z$112),"")</f>
        <v/>
      </c>
      <c r="AA112" t="str">
        <f ca="1">IFERROR(IF(0=LEN(ReferenceData!$AA$112),"",ReferenceData!$AA$112),"")</f>
        <v/>
      </c>
      <c r="AB112" t="str">
        <f ca="1">IFERROR(IF(0=LEN(ReferenceData!$AB$112),"",ReferenceData!$AB$112),"")</f>
        <v/>
      </c>
      <c r="AC112" t="str">
        <f ca="1">IFERROR(IF(0=LEN(ReferenceData!$AC$112),"",ReferenceData!$AC$112),"")</f>
        <v/>
      </c>
      <c r="AD112" t="str">
        <f ca="1">IFERROR(IF(0=LEN(ReferenceData!$AD$112),"",ReferenceData!$AD$112),"")</f>
        <v/>
      </c>
      <c r="AE112" t="str">
        <f ca="1">IFERROR(IF(0=LEN(ReferenceData!$AE$112),"",ReferenceData!$AE$112),"")</f>
        <v/>
      </c>
      <c r="AF112" t="str">
        <f ca="1">IFERROR(IF(0=LEN(ReferenceData!$AF$112),"",ReferenceData!$AF$112),"")</f>
        <v/>
      </c>
      <c r="AG112" t="str">
        <f ca="1">IFERROR(IF(0=LEN(ReferenceData!$AG$112),"",ReferenceData!$AG$112),"")</f>
        <v/>
      </c>
      <c r="AH112" t="str">
        <f ca="1">IFERROR(IF(0=LEN(ReferenceData!$AH$112),"",ReferenceData!$AH$112),"")</f>
        <v/>
      </c>
      <c r="AI112" t="str">
        <f ca="1">IFERROR(IF(0=LEN(ReferenceData!$AI$112),"",ReferenceData!$AI$112),"")</f>
        <v/>
      </c>
      <c r="AJ112" t="str">
        <f ca="1">IFERROR(IF(0=LEN(ReferenceData!$AJ$112),"",ReferenceData!$AJ$112),"")</f>
        <v/>
      </c>
      <c r="AK112" t="str">
        <f ca="1">IFERROR(IF(0=LEN(ReferenceData!$AK$112),"",ReferenceData!$AK$112),"")</f>
        <v/>
      </c>
      <c r="AL112" t="str">
        <f ca="1">IFERROR(IF(0=LEN(ReferenceData!$AL$112),"",ReferenceData!$AL$112),"")</f>
        <v/>
      </c>
      <c r="AM112" t="str">
        <f ca="1">IFERROR(IF(0=LEN(ReferenceData!$AM$112),"",ReferenceData!$AM$112),"")</f>
        <v/>
      </c>
      <c r="AN112" t="str">
        <f ca="1">IFERROR(IF(0=LEN(ReferenceData!$AN$112),"",ReferenceData!$AN$112),"")</f>
        <v/>
      </c>
      <c r="AO112" t="str">
        <f ca="1">IFERROR(IF(0=LEN(ReferenceData!$AO$112),"",ReferenceData!$AO$112),"")</f>
        <v/>
      </c>
      <c r="AP112" t="str">
        <f ca="1">IFERROR(IF(0=LEN(ReferenceData!$AP$112),"",ReferenceData!$AP$112),"")</f>
        <v/>
      </c>
      <c r="AQ112" t="str">
        <f ca="1">IFERROR(IF(0=LEN(ReferenceData!$AQ$112),"",ReferenceData!$AQ$112),"")</f>
        <v/>
      </c>
      <c r="AR112" t="str">
        <f ca="1">IFERROR(IF(0=LEN(ReferenceData!$AR$112),"",ReferenceData!$AR$112),"")</f>
        <v/>
      </c>
      <c r="AS112" t="str">
        <f ca="1">IFERROR(IF(0=LEN(ReferenceData!$AS$112),"",ReferenceData!$AS$112),"")</f>
        <v/>
      </c>
      <c r="AT112" t="str">
        <f ca="1">IFERROR(IF(0=LEN(ReferenceData!$AT$112),"",ReferenceData!$AT$112),"")</f>
        <v/>
      </c>
      <c r="AU112" t="str">
        <f ca="1">IFERROR(IF(0=LEN(ReferenceData!$AU$112),"",ReferenceData!$AU$112),"")</f>
        <v/>
      </c>
      <c r="AV112" t="str">
        <f ca="1">IFERROR(IF(0=LEN(ReferenceData!$AV$112),"",ReferenceData!$AV$112),"")</f>
        <v/>
      </c>
      <c r="AW112" t="str">
        <f ca="1">IFERROR(IF(0=LEN(ReferenceData!$AW$112),"",ReferenceData!$AW$112),"")</f>
        <v/>
      </c>
      <c r="AX112" t="str">
        <f ca="1">IFERROR(IF(0=LEN(ReferenceData!$AX$112),"",ReferenceData!$AX$112),"")</f>
        <v/>
      </c>
      <c r="AY112" t="str">
        <f ca="1">IFERROR(IF(0=LEN(ReferenceData!$AY$112),"",ReferenceData!$AY$112),"")</f>
        <v/>
      </c>
      <c r="AZ112" t="str">
        <f ca="1">IFERROR(IF(0=LEN(ReferenceData!$AZ$112),"",ReferenceData!$AZ$112),"")</f>
        <v/>
      </c>
      <c r="BA112" t="str">
        <f ca="1">IFERROR(IF(0=LEN(ReferenceData!$BA$112),"",ReferenceData!$BA$112),"")</f>
        <v/>
      </c>
      <c r="BB112" t="str">
        <f ca="1">IFERROR(IF(0=LEN(ReferenceData!$BB$112),"",ReferenceData!$BB$112),"")</f>
        <v/>
      </c>
      <c r="BC112" t="str">
        <f ca="1">IFERROR(IF(0=LEN(ReferenceData!$BC$112),"",ReferenceData!$BC$112),"")</f>
        <v/>
      </c>
      <c r="BD112" t="str">
        <f ca="1">IFERROR(IF(0=LEN(ReferenceData!$BD$112),"",ReferenceData!$BD$112),"")</f>
        <v/>
      </c>
      <c r="BE112" t="str">
        <f ca="1">IFERROR(IF(0=LEN(ReferenceData!$BE$112),"",ReferenceData!$BE$112),"")</f>
        <v/>
      </c>
      <c r="BF112" t="str">
        <f ca="1">IFERROR(IF(0=LEN(ReferenceData!$BF$112),"",ReferenceData!$BF$112),"")</f>
        <v/>
      </c>
      <c r="BG112" t="str">
        <f ca="1">IFERROR(IF(0=LEN(ReferenceData!$BG$112),"",ReferenceData!$BG$112),"")</f>
        <v/>
      </c>
      <c r="BH112" t="str">
        <f ca="1">IFERROR(IF(0=LEN(ReferenceData!$BH$112),"",ReferenceData!$BH$112),"")</f>
        <v/>
      </c>
      <c r="BI112" t="str">
        <f ca="1">IFERROR(IF(0=LEN(ReferenceData!$BI$112),"",ReferenceData!$BI$112),"")</f>
        <v/>
      </c>
      <c r="BJ112" t="str">
        <f ca="1">IFERROR(IF(0=LEN(ReferenceData!$BJ$112),"",ReferenceData!$BJ$112),"")</f>
        <v/>
      </c>
      <c r="BK112" t="str">
        <f ca="1">IFERROR(IF(0=LEN(ReferenceData!$BK$112),"",ReferenceData!$BK$112),"")</f>
        <v/>
      </c>
      <c r="BL112" t="str">
        <f ca="1">IFERROR(IF(0=LEN(ReferenceData!$BL$112),"",ReferenceData!$BL$112),"")</f>
        <v/>
      </c>
      <c r="BM112" t="str">
        <f ca="1">IFERROR(IF(0=LEN(ReferenceData!$BM$112),"",ReferenceData!$BM$112),"")</f>
        <v/>
      </c>
    </row>
    <row r="113" spans="1:65">
      <c r="A113" t="str">
        <f>IFERROR(IF(0=LEN(ReferenceData!$A$113),"",ReferenceData!$A$113),"")</f>
        <v xml:space="preserve">    Flagstar Financial Inc</v>
      </c>
      <c r="B113" t="str">
        <f>IFERROR(IF(0=LEN(ReferenceData!$B$113),"",ReferenceData!$B$113),"")</f>
        <v>FLG US Equity</v>
      </c>
      <c r="C113" t="str">
        <f>IFERROR(IF(0=LEN(ReferenceData!$C$113),"",ReferenceData!$C$113),"")</f>
        <v>BS960</v>
      </c>
      <c r="D113" t="str">
        <f>IFERROR(IF(0=LEN(ReferenceData!$D$113),"",ReferenceData!$D$113),"")</f>
        <v>BS_RESIDENT_MTG_SERVICED_OTHERS</v>
      </c>
      <c r="E113" t="str">
        <f>IFERROR(IF(0=LEN(ReferenceData!$E$113),"",ReferenceData!$E$113),"")</f>
        <v>Dynamic</v>
      </c>
      <c r="F113" t="str">
        <f ca="1">IFERROR(IF(0=LEN(ReferenceData!$F$113),"",ReferenceData!$F$113),"")</f>
        <v/>
      </c>
      <c r="G113" t="str">
        <f ca="1">IFERROR(IF(0=LEN(ReferenceData!$G$113),"",ReferenceData!$G$113),"")</f>
        <v/>
      </c>
      <c r="H113" t="str">
        <f ca="1">IFERROR(IF(0=LEN(ReferenceData!$H$113),"",ReferenceData!$H$113),"")</f>
        <v/>
      </c>
      <c r="I113" t="str">
        <f ca="1">IFERROR(IF(0=LEN(ReferenceData!$I$113),"",ReferenceData!$I$113),"")</f>
        <v/>
      </c>
      <c r="J113" t="str">
        <f ca="1">IFERROR(IF(0=LEN(ReferenceData!$J$113),"",ReferenceData!$J$113),"")</f>
        <v/>
      </c>
      <c r="K113" t="str">
        <f ca="1">IFERROR(IF(0=LEN(ReferenceData!$K$113),"",ReferenceData!$K$113),"")</f>
        <v/>
      </c>
      <c r="L113" t="str">
        <f ca="1">IFERROR(IF(0=LEN(ReferenceData!$L$113),"",ReferenceData!$L$113),"")</f>
        <v/>
      </c>
      <c r="M113" t="str">
        <f ca="1">IFERROR(IF(0=LEN(ReferenceData!$M$113),"",ReferenceData!$M$113),"")</f>
        <v/>
      </c>
      <c r="N113" t="str">
        <f ca="1">IFERROR(IF(0=LEN(ReferenceData!$N$113),"",ReferenceData!$N$113),"")</f>
        <v/>
      </c>
      <c r="O113" t="str">
        <f ca="1">IFERROR(IF(0=LEN(ReferenceData!$O$113),"",ReferenceData!$O$113),"")</f>
        <v/>
      </c>
      <c r="P113" t="str">
        <f ca="1">IFERROR(IF(0=LEN(ReferenceData!$P$113),"",ReferenceData!$P$113),"")</f>
        <v/>
      </c>
      <c r="Q113" t="str">
        <f ca="1">IFERROR(IF(0=LEN(ReferenceData!$Q$113),"",ReferenceData!$Q$113),"")</f>
        <v/>
      </c>
      <c r="R113" t="str">
        <f ca="1">IFERROR(IF(0=LEN(ReferenceData!$R$113),"",ReferenceData!$R$113),"")</f>
        <v/>
      </c>
      <c r="S113" t="str">
        <f ca="1">IFERROR(IF(0=LEN(ReferenceData!$S$113),"",ReferenceData!$S$113),"")</f>
        <v/>
      </c>
      <c r="T113" t="str">
        <f ca="1">IFERROR(IF(0=LEN(ReferenceData!$T$113),"",ReferenceData!$T$113),"")</f>
        <v/>
      </c>
      <c r="U113" t="str">
        <f ca="1">IFERROR(IF(0=LEN(ReferenceData!$U$113),"",ReferenceData!$U$113),"")</f>
        <v/>
      </c>
      <c r="V113" t="str">
        <f ca="1">IFERROR(IF(0=LEN(ReferenceData!$V$113),"",ReferenceData!$V$113),"")</f>
        <v/>
      </c>
      <c r="W113" t="str">
        <f ca="1">IFERROR(IF(0=LEN(ReferenceData!$W$113),"",ReferenceData!$W$113),"")</f>
        <v/>
      </c>
      <c r="X113" t="str">
        <f ca="1">IFERROR(IF(0=LEN(ReferenceData!$X$113),"",ReferenceData!$X$113),"")</f>
        <v/>
      </c>
      <c r="Y113" t="str">
        <f ca="1">IFERROR(IF(0=LEN(ReferenceData!$Y$113),"",ReferenceData!$Y$113),"")</f>
        <v/>
      </c>
      <c r="Z113" t="str">
        <f ca="1">IFERROR(IF(0=LEN(ReferenceData!$Z$113),"",ReferenceData!$Z$113),"")</f>
        <v/>
      </c>
      <c r="AA113" t="str">
        <f ca="1">IFERROR(IF(0=LEN(ReferenceData!$AA$113),"",ReferenceData!$AA$113),"")</f>
        <v/>
      </c>
      <c r="AB113" t="str">
        <f ca="1">IFERROR(IF(0=LEN(ReferenceData!$AB$113),"",ReferenceData!$AB$113),"")</f>
        <v/>
      </c>
      <c r="AC113" t="str">
        <f ca="1">IFERROR(IF(0=LEN(ReferenceData!$AC$113),"",ReferenceData!$AC$113),"")</f>
        <v/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  <c r="AT113" t="str">
        <f ca="1">IFERROR(IF(0=LEN(ReferenceData!$AT$113),"",ReferenceData!$AT$113),"")</f>
        <v/>
      </c>
      <c r="AU113" t="str">
        <f ca="1">IFERROR(IF(0=LEN(ReferenceData!$AU$113),"",ReferenceData!$AU$113),"")</f>
        <v/>
      </c>
      <c r="AV113" t="str">
        <f ca="1">IFERROR(IF(0=LEN(ReferenceData!$AV$113),"",ReferenceData!$AV$113),"")</f>
        <v/>
      </c>
      <c r="AW113" t="str">
        <f ca="1">IFERROR(IF(0=LEN(ReferenceData!$AW$113),"",ReferenceData!$AW$113),"")</f>
        <v/>
      </c>
      <c r="AX113" t="str">
        <f ca="1">IFERROR(IF(0=LEN(ReferenceData!$AX$113),"",ReferenceData!$AX$113),"")</f>
        <v/>
      </c>
      <c r="AY113" t="str">
        <f ca="1">IFERROR(IF(0=LEN(ReferenceData!$AY$113),"",ReferenceData!$AY$113),"")</f>
        <v/>
      </c>
      <c r="AZ113" t="str">
        <f ca="1">IFERROR(IF(0=LEN(ReferenceData!$AZ$113),"",ReferenceData!$AZ$113),"")</f>
        <v/>
      </c>
      <c r="BA113" t="str">
        <f ca="1">IFERROR(IF(0=LEN(ReferenceData!$BA$113),"",ReferenceData!$BA$113),"")</f>
        <v/>
      </c>
      <c r="BB113" t="str">
        <f ca="1">IFERROR(IF(0=LEN(ReferenceData!$BB$113),"",ReferenceData!$BB$113),"")</f>
        <v/>
      </c>
      <c r="BC113" t="str">
        <f ca="1">IFERROR(IF(0=LEN(ReferenceData!$BC$113),"",ReferenceData!$BC$113),"")</f>
        <v/>
      </c>
      <c r="BD113" t="str">
        <f ca="1">IFERROR(IF(0=LEN(ReferenceData!$BD$113),"",ReferenceData!$BD$113),"")</f>
        <v/>
      </c>
      <c r="BE113" t="str">
        <f ca="1">IFERROR(IF(0=LEN(ReferenceData!$BE$113),"",ReferenceData!$BE$113),"")</f>
        <v/>
      </c>
      <c r="BF113" t="str">
        <f ca="1">IFERROR(IF(0=LEN(ReferenceData!$BF$113),"",ReferenceData!$BF$113),"")</f>
        <v/>
      </c>
      <c r="BG113" t="str">
        <f ca="1">IFERROR(IF(0=LEN(ReferenceData!$BG$113),"",ReferenceData!$BG$113),"")</f>
        <v/>
      </c>
      <c r="BH113" t="str">
        <f ca="1">IFERROR(IF(0=LEN(ReferenceData!$BH$113),"",ReferenceData!$BH$113),"")</f>
        <v/>
      </c>
      <c r="BI113" t="str">
        <f ca="1">IFERROR(IF(0=LEN(ReferenceData!$BI$113),"",ReferenceData!$BI$113),"")</f>
        <v/>
      </c>
      <c r="BJ113" t="str">
        <f ca="1">IFERROR(IF(0=LEN(ReferenceData!$BJ$113),"",ReferenceData!$BJ$113),"")</f>
        <v/>
      </c>
      <c r="BK113" t="str">
        <f ca="1">IFERROR(IF(0=LEN(ReferenceData!$BK$113),"",ReferenceData!$BK$113),"")</f>
        <v/>
      </c>
      <c r="BL113" t="str">
        <f ca="1">IFERROR(IF(0=LEN(ReferenceData!$BL$113),"",ReferenceData!$BL$113),"")</f>
        <v/>
      </c>
      <c r="BM113" t="str">
        <f ca="1">IFERROR(IF(0=LEN(ReferenceData!$BM$113),"",ReferenceData!$BM$113),"")</f>
        <v/>
      </c>
    </row>
    <row r="114" spans="1:65">
      <c r="A114" t="str">
        <f>IFERROR(IF(0=LEN(ReferenceData!$A$114),"",ReferenceData!$A$114),"")</f>
        <v xml:space="preserve">    Huntington Bancshares Inc/OH</v>
      </c>
      <c r="B114" t="str">
        <f>IFERROR(IF(0=LEN(ReferenceData!$B$114),"",ReferenceData!$B$114),"")</f>
        <v>HBAN US Equity</v>
      </c>
      <c r="C114" t="str">
        <f>IFERROR(IF(0=LEN(ReferenceData!$C$114),"",ReferenceData!$C$114),"")</f>
        <v>BS960</v>
      </c>
      <c r="D114" t="str">
        <f>IFERROR(IF(0=LEN(ReferenceData!$D$114),"",ReferenceData!$D$114),"")</f>
        <v>BS_RESIDENT_MTG_SERVICED_OTHERS</v>
      </c>
      <c r="E114" t="str">
        <f>IFERROR(IF(0=LEN(ReferenceData!$E$114),"",ReferenceData!$E$114),"")</f>
        <v>Dynamic</v>
      </c>
      <c r="F114">
        <f ca="1">IFERROR(IF(0=LEN(ReferenceData!$F$114),"",ReferenceData!$F$114),"")</f>
        <v>33696</v>
      </c>
      <c r="G114">
        <f ca="1">IFERROR(IF(0=LEN(ReferenceData!$G$114),"",ReferenceData!$G$114),"")</f>
        <v>33565</v>
      </c>
      <c r="H114">
        <f ca="1">IFERROR(IF(0=LEN(ReferenceData!$H$114),"",ReferenceData!$H$114),"")</f>
        <v>33404</v>
      </c>
      <c r="I114">
        <f ca="1">IFERROR(IF(0=LEN(ReferenceData!$I$114),"",ReferenceData!$I$114),"")</f>
        <v>33303</v>
      </c>
      <c r="J114">
        <f ca="1">IFERROR(IF(0=LEN(ReferenceData!$J$114),"",ReferenceData!$J$114),"")</f>
        <v>33237</v>
      </c>
      <c r="K114">
        <f ca="1">IFERROR(IF(0=LEN(ReferenceData!$K$114),"",ReferenceData!$K$114),"")</f>
        <v>32965</v>
      </c>
      <c r="L114">
        <f ca="1">IFERROR(IF(0=LEN(ReferenceData!$L$114),"",ReferenceData!$L$114),"")</f>
        <v>32712</v>
      </c>
      <c r="M114">
        <f ca="1">IFERROR(IF(0=LEN(ReferenceData!$M$114),"",ReferenceData!$M$114),"")</f>
        <v>32496</v>
      </c>
      <c r="N114">
        <f ca="1">IFERROR(IF(0=LEN(ReferenceData!$N$114),"",ReferenceData!$N$114),"")</f>
        <v>32354</v>
      </c>
      <c r="O114">
        <f ca="1">IFERROR(IF(0=LEN(ReferenceData!$O$114),"",ReferenceData!$O$114),"")</f>
        <v>31988</v>
      </c>
      <c r="P114">
        <f ca="1">IFERROR(IF(0=LEN(ReferenceData!$P$114),"",ReferenceData!$P$114),"")</f>
        <v>31704</v>
      </c>
      <c r="Q114">
        <f ca="1">IFERROR(IF(0=LEN(ReferenceData!$Q$114),"",ReferenceData!$Q$114),"")</f>
        <v>31570</v>
      </c>
      <c r="R114">
        <f ca="1">IFERROR(IF(0=LEN(ReferenceData!$R$114),"",ReferenceData!$R$114),"")</f>
        <v>31017</v>
      </c>
      <c r="S114">
        <f ca="1">IFERROR(IF(0=LEN(ReferenceData!$S$114),"",ReferenceData!$S$114),"")</f>
        <v>30554</v>
      </c>
      <c r="T114">
        <f ca="1">IFERROR(IF(0=LEN(ReferenceData!$T$114),"",ReferenceData!$T$114),"")</f>
        <v>30398</v>
      </c>
      <c r="U114">
        <f ca="1">IFERROR(IF(0=LEN(ReferenceData!$U$114),"",ReferenceData!$U$114),"")</f>
        <v>23585</v>
      </c>
      <c r="V114">
        <f ca="1">IFERROR(IF(0=LEN(ReferenceData!$V$114),"",ReferenceData!$V$114),"")</f>
        <v>23471</v>
      </c>
      <c r="W114">
        <f ca="1">IFERROR(IF(0=LEN(ReferenceData!$W$114),"",ReferenceData!$W$114),"")</f>
        <v>23334</v>
      </c>
      <c r="X114">
        <f ca="1">IFERROR(IF(0=LEN(ReferenceData!$X$114),"",ReferenceData!$X$114),"")</f>
        <v>23184</v>
      </c>
      <c r="Y114">
        <f ca="1">IFERROR(IF(0=LEN(ReferenceData!$Y$114),"",ReferenceData!$Y$114),"")</f>
        <v>22775</v>
      </c>
      <c r="Z114">
        <f ca="1">IFERROR(IF(0=LEN(ReferenceData!$Z$114),"",ReferenceData!$Z$114),"")</f>
        <v>22425</v>
      </c>
      <c r="AA114">
        <f ca="1">IFERROR(IF(0=LEN(ReferenceData!$AA$114),"",ReferenceData!$AA$114),"")</f>
        <v>21674</v>
      </c>
      <c r="AB114">
        <f ca="1">IFERROR(IF(0=LEN(ReferenceData!$AB$114),"",ReferenceData!$AB$114),"")</f>
        <v>21486</v>
      </c>
      <c r="AC114">
        <f ca="1">IFERROR(IF(0=LEN(ReferenceData!$AC$114),"",ReferenceData!$AC$114),"")</f>
        <v>21346</v>
      </c>
      <c r="AD114">
        <f ca="1">IFERROR(IF(0=LEN(ReferenceData!$AD$114),"",ReferenceData!$AD$114),"")</f>
        <v>21068</v>
      </c>
      <c r="AE114">
        <f ca="1">IFERROR(IF(0=LEN(ReferenceData!$AE$114),"",ReferenceData!$AE$114),"")</f>
        <v>20617</v>
      </c>
      <c r="AF114">
        <f ca="1">IFERROR(IF(0=LEN(ReferenceData!$AF$114),"",ReferenceData!$AF$114),"")</f>
        <v>20416</v>
      </c>
      <c r="AG114">
        <f ca="1">IFERROR(IF(0=LEN(ReferenceData!$AG$114),"",ReferenceData!$AG$114),"")</f>
        <v>20225</v>
      </c>
      <c r="AH114">
        <f ca="1">IFERROR(IF(0=LEN(ReferenceData!$AH$114),"",ReferenceData!$AH$114),"")</f>
        <v>19989</v>
      </c>
      <c r="AI114">
        <f ca="1">IFERROR(IF(0=LEN(ReferenceData!$AI$114),"",ReferenceData!$AI$114),"")</f>
        <v>19552</v>
      </c>
      <c r="AJ114">
        <f ca="1">IFERROR(IF(0=LEN(ReferenceData!$AJ$114),"",ReferenceData!$AJ$114),"")</f>
        <v>19111</v>
      </c>
      <c r="AK114">
        <f ca="1">IFERROR(IF(0=LEN(ReferenceData!$AK$114),"",ReferenceData!$AK$114),"")</f>
        <v>19051</v>
      </c>
      <c r="AL114">
        <f ca="1">IFERROR(IF(0=LEN(ReferenceData!$AL$114),"",ReferenceData!$AL$114),"")</f>
        <v>18852</v>
      </c>
      <c r="AM114">
        <f ca="1">IFERROR(IF(0=LEN(ReferenceData!$AM$114),"",ReferenceData!$AM$114),"")</f>
        <v>18631</v>
      </c>
      <c r="AN114">
        <f ca="1">IFERROR(IF(0=LEN(ReferenceData!$AN$114),"",ReferenceData!$AN$114),"")</f>
        <v>16211</v>
      </c>
      <c r="AO114">
        <f ca="1">IFERROR(IF(0=LEN(ReferenceData!$AO$114),"",ReferenceData!$AO$114),"")</f>
        <v>16239</v>
      </c>
      <c r="AP114">
        <f ca="1">IFERROR(IF(0=LEN(ReferenceData!$AP$114),"",ReferenceData!$AP$114),"")</f>
        <v>16168</v>
      </c>
      <c r="AQ114">
        <f ca="1">IFERROR(IF(0=LEN(ReferenceData!$AQ$114),"",ReferenceData!$AQ$114),"")</f>
        <v>15941</v>
      </c>
      <c r="AR114">
        <f ca="1">IFERROR(IF(0=LEN(ReferenceData!$AR$114),"",ReferenceData!$AR$114),"")</f>
        <v>15722</v>
      </c>
      <c r="AS114">
        <f ca="1">IFERROR(IF(0=LEN(ReferenceData!$AS$114),"",ReferenceData!$AS$114),"")</f>
        <v>15569</v>
      </c>
      <c r="AT114">
        <f ca="1">IFERROR(IF(0=LEN(ReferenceData!$AT$114),"",ReferenceData!$AT$114),"")</f>
        <v>15637</v>
      </c>
      <c r="AU114">
        <f ca="1">IFERROR(IF(0=LEN(ReferenceData!$AU$114),"",ReferenceData!$AU$114),"")</f>
        <v>15.593</v>
      </c>
      <c r="AV114">
        <f ca="1">IFERROR(IF(0=LEN(ReferenceData!$AV$114),"",ReferenceData!$AV$114),"")</f>
        <v>15560</v>
      </c>
      <c r="AW114">
        <f ca="1">IFERROR(IF(0=LEN(ReferenceData!$AW$114),"",ReferenceData!$AW$114),"")</f>
        <v>15614</v>
      </c>
      <c r="AX114">
        <f ca="1">IFERROR(IF(0=LEN(ReferenceData!$AX$114),"",ReferenceData!$AX$114),"")</f>
        <v>15239</v>
      </c>
      <c r="AY114">
        <f ca="1">IFERROR(IF(0=LEN(ReferenceData!$AY$114),"",ReferenceData!$AY$114),"")</f>
        <v>30.462</v>
      </c>
      <c r="AZ114">
        <f ca="1">IFERROR(IF(0=LEN(ReferenceData!$AZ$114),"",ReferenceData!$AZ$114),"")</f>
        <v>15213</v>
      </c>
      <c r="BA114">
        <f ca="1">IFERROR(IF(0=LEN(ReferenceData!$BA$114),"",ReferenceData!$BA$114),"")</f>
        <v>15367</v>
      </c>
      <c r="BB114">
        <f ca="1">IFERROR(IF(0=LEN(ReferenceData!$BB$114),"",ReferenceData!$BB$114),"")</f>
        <v>15623</v>
      </c>
      <c r="BC114">
        <f ca="1">IFERROR(IF(0=LEN(ReferenceData!$BC$114),"",ReferenceData!$BC$114),"")</f>
        <v>15571</v>
      </c>
      <c r="BD114">
        <f ca="1">IFERROR(IF(0=LEN(ReferenceData!$BD$114),"",ReferenceData!$BD$114),"")</f>
        <v>15724</v>
      </c>
      <c r="BE114">
        <f ca="1">IFERROR(IF(0=LEN(ReferenceData!$BE$114),"",ReferenceData!$BE$114),"")</f>
        <v>15902</v>
      </c>
      <c r="BF114">
        <f ca="1">IFERROR(IF(0=LEN(ReferenceData!$BF$114),"",ReferenceData!$BF$114),"")</f>
        <v>15886</v>
      </c>
      <c r="BG114">
        <f ca="1">IFERROR(IF(0=LEN(ReferenceData!$BG$114),"",ReferenceData!$BG$114),"")</f>
        <v>16061</v>
      </c>
      <c r="BH114">
        <f ca="1">IFERROR(IF(0=LEN(ReferenceData!$BH$114),"",ReferenceData!$BH$114),"")</f>
        <v>16315</v>
      </c>
      <c r="BI114">
        <f ca="1">IFERROR(IF(0=LEN(ReferenceData!$BI$114),"",ReferenceData!$BI$114),"")</f>
        <v>16456</v>
      </c>
      <c r="BJ114" t="str">
        <f ca="1">IFERROR(IF(0=LEN(ReferenceData!$BJ$114),"",ReferenceData!$BJ$114),"")</f>
        <v/>
      </c>
      <c r="BK114">
        <f ca="1">IFERROR(IF(0=LEN(ReferenceData!$BK$114),"",ReferenceData!$BK$114),"")</f>
        <v>15713</v>
      </c>
      <c r="BL114">
        <f ca="1">IFERROR(IF(0=LEN(ReferenceData!$BL$114),"",ReferenceData!$BL$114),"")</f>
        <v>15954</v>
      </c>
      <c r="BM114" t="str">
        <f ca="1">IFERROR(IF(0=LEN(ReferenceData!$BM$114),"",ReferenceData!$BM$114),"")</f>
        <v/>
      </c>
    </row>
    <row r="115" spans="1:65">
      <c r="A115" t="str">
        <f>IFERROR(IF(0=LEN(ReferenceData!$A$115),"",ReferenceData!$A$115),"")</f>
        <v xml:space="preserve">    KeyCorp</v>
      </c>
      <c r="B115" t="str">
        <f>IFERROR(IF(0=LEN(ReferenceData!$B$115),"",ReferenceData!$B$115),"")</f>
        <v>KEY US Equity</v>
      </c>
      <c r="C115" t="str">
        <f>IFERROR(IF(0=LEN(ReferenceData!$C$115),"",ReferenceData!$C$115),"")</f>
        <v>BS960</v>
      </c>
      <c r="D115" t="str">
        <f>IFERROR(IF(0=LEN(ReferenceData!$D$115),"",ReferenceData!$D$115),"")</f>
        <v>BS_RESIDENT_MTG_SERVICED_OTHERS</v>
      </c>
      <c r="E115" t="str">
        <f>IFERROR(IF(0=LEN(ReferenceData!$E$115),"",ReferenceData!$E$115),"")</f>
        <v>Dynamic</v>
      </c>
      <c r="F115" t="str">
        <f ca="1">IFERROR(IF(0=LEN(ReferenceData!$F$115),"",ReferenceData!$F$115),"")</f>
        <v/>
      </c>
      <c r="G115" t="str">
        <f ca="1">IFERROR(IF(0=LEN(ReferenceData!$G$115),"",ReferenceData!$G$115),"")</f>
        <v/>
      </c>
      <c r="H115" t="str">
        <f ca="1">IFERROR(IF(0=LEN(ReferenceData!$H$115),"",ReferenceData!$H$115),"")</f>
        <v/>
      </c>
      <c r="I115" t="str">
        <f ca="1">IFERROR(IF(0=LEN(ReferenceData!$I$115),"",ReferenceData!$I$115),"")</f>
        <v/>
      </c>
      <c r="J115" t="str">
        <f ca="1">IFERROR(IF(0=LEN(ReferenceData!$J$115),"",ReferenceData!$J$115),"")</f>
        <v/>
      </c>
      <c r="K115" t="str">
        <f ca="1">IFERROR(IF(0=LEN(ReferenceData!$K$115),"",ReferenceData!$K$115),"")</f>
        <v/>
      </c>
      <c r="L115" t="str">
        <f ca="1">IFERROR(IF(0=LEN(ReferenceData!$L$115),"",ReferenceData!$L$115),"")</f>
        <v/>
      </c>
      <c r="M115" t="str">
        <f ca="1">IFERROR(IF(0=LEN(ReferenceData!$M$115),"",ReferenceData!$M$115),"")</f>
        <v/>
      </c>
      <c r="N115" t="str">
        <f ca="1">IFERROR(IF(0=LEN(ReferenceData!$N$115),"",ReferenceData!$N$115),"")</f>
        <v/>
      </c>
      <c r="O115" t="str">
        <f ca="1">IFERROR(IF(0=LEN(ReferenceData!$O$115),"",ReferenceData!$O$115),"")</f>
        <v/>
      </c>
      <c r="P115" t="str">
        <f ca="1">IFERROR(IF(0=LEN(ReferenceData!$P$115),"",ReferenceData!$P$115),"")</f>
        <v/>
      </c>
      <c r="Q115" t="str">
        <f ca="1">IFERROR(IF(0=LEN(ReferenceData!$Q$115),"",ReferenceData!$Q$115),"")</f>
        <v/>
      </c>
      <c r="R115" t="str">
        <f ca="1">IFERROR(IF(0=LEN(ReferenceData!$R$115),"",ReferenceData!$R$115),"")</f>
        <v/>
      </c>
      <c r="S115" t="str">
        <f ca="1">IFERROR(IF(0=LEN(ReferenceData!$S$115),"",ReferenceData!$S$115),"")</f>
        <v/>
      </c>
      <c r="T115" t="str">
        <f ca="1">IFERROR(IF(0=LEN(ReferenceData!$T$115),"",ReferenceData!$T$115),"")</f>
        <v/>
      </c>
      <c r="U115" t="str">
        <f ca="1">IFERROR(IF(0=LEN(ReferenceData!$U$115),"",ReferenceData!$U$115),"")</f>
        <v/>
      </c>
      <c r="V115" t="str">
        <f ca="1">IFERROR(IF(0=LEN(ReferenceData!$V$115),"",ReferenceData!$V$115),"")</f>
        <v/>
      </c>
      <c r="W115" t="str">
        <f ca="1">IFERROR(IF(0=LEN(ReferenceData!$W$115),"",ReferenceData!$W$115),"")</f>
        <v/>
      </c>
      <c r="X115" t="str">
        <f ca="1">IFERROR(IF(0=LEN(ReferenceData!$X$115),"",ReferenceData!$X$115),"")</f>
        <v/>
      </c>
      <c r="Y115" t="str">
        <f ca="1">IFERROR(IF(0=LEN(ReferenceData!$Y$115),"",ReferenceData!$Y$115),"")</f>
        <v/>
      </c>
      <c r="Z115" t="str">
        <f ca="1">IFERROR(IF(0=LEN(ReferenceData!$Z$115),"",ReferenceData!$Z$115),"")</f>
        <v/>
      </c>
      <c r="AA115" t="str">
        <f ca="1">IFERROR(IF(0=LEN(ReferenceData!$AA$115),"",ReferenceData!$AA$115),"")</f>
        <v/>
      </c>
      <c r="AB115" t="str">
        <f ca="1">IFERROR(IF(0=LEN(ReferenceData!$AB$115),"",ReferenceData!$AB$115),"")</f>
        <v/>
      </c>
      <c r="AC115" t="str">
        <f ca="1">IFERROR(IF(0=LEN(ReferenceData!$AC$115),"",ReferenceData!$AC$115),"")</f>
        <v/>
      </c>
      <c r="AD115" t="str">
        <f ca="1">IFERROR(IF(0=LEN(ReferenceData!$AD$115),"",ReferenceData!$AD$115),"")</f>
        <v/>
      </c>
      <c r="AE115" t="str">
        <f ca="1">IFERROR(IF(0=LEN(ReferenceData!$AE$115),"",ReferenceData!$AE$115),"")</f>
        <v/>
      </c>
      <c r="AF115" t="str">
        <f ca="1">IFERROR(IF(0=LEN(ReferenceData!$AF$115),"",ReferenceData!$AF$115),"")</f>
        <v/>
      </c>
      <c r="AG115" t="str">
        <f ca="1">IFERROR(IF(0=LEN(ReferenceData!$AG$115),"",ReferenceData!$AG$115),"")</f>
        <v/>
      </c>
      <c r="AH115" t="str">
        <f ca="1">IFERROR(IF(0=LEN(ReferenceData!$AH$115),"",ReferenceData!$AH$115),"")</f>
        <v/>
      </c>
      <c r="AI115" t="str">
        <f ca="1">IFERROR(IF(0=LEN(ReferenceData!$AI$115),"",ReferenceData!$AI$115),"")</f>
        <v/>
      </c>
      <c r="AJ115" t="str">
        <f ca="1">IFERROR(IF(0=LEN(ReferenceData!$AJ$115),"",ReferenceData!$AJ$115),"")</f>
        <v/>
      </c>
      <c r="AK115" t="str">
        <f ca="1">IFERROR(IF(0=LEN(ReferenceData!$AK$115),"",ReferenceData!$AK$115),"")</f>
        <v/>
      </c>
      <c r="AL115" t="str">
        <f ca="1">IFERROR(IF(0=LEN(ReferenceData!$AL$115),"",ReferenceData!$AL$115),"")</f>
        <v/>
      </c>
      <c r="AM115" t="str">
        <f ca="1">IFERROR(IF(0=LEN(ReferenceData!$AM$115),"",ReferenceData!$AM$115),"")</f>
        <v/>
      </c>
      <c r="AN115" t="str">
        <f ca="1">IFERROR(IF(0=LEN(ReferenceData!$AN$115),"",ReferenceData!$AN$115),"")</f>
        <v/>
      </c>
      <c r="AO115" t="str">
        <f ca="1">IFERROR(IF(0=LEN(ReferenceData!$AO$115),"",ReferenceData!$AO$115),"")</f>
        <v/>
      </c>
      <c r="AP115" t="str">
        <f ca="1">IFERROR(IF(0=LEN(ReferenceData!$AP$115),"",ReferenceData!$AP$115),"")</f>
        <v/>
      </c>
      <c r="AQ115" t="str">
        <f ca="1">IFERROR(IF(0=LEN(ReferenceData!$AQ$115),"",ReferenceData!$AQ$115),"")</f>
        <v/>
      </c>
      <c r="AR115" t="str">
        <f ca="1">IFERROR(IF(0=LEN(ReferenceData!$AR$115),"",ReferenceData!$AR$115),"")</f>
        <v/>
      </c>
      <c r="AS115" t="str">
        <f ca="1">IFERROR(IF(0=LEN(ReferenceData!$AS$115),"",ReferenceData!$AS$115),"")</f>
        <v/>
      </c>
      <c r="AT115" t="str">
        <f ca="1">IFERROR(IF(0=LEN(ReferenceData!$AT$115),"",ReferenceData!$AT$115),"")</f>
        <v/>
      </c>
      <c r="AU115" t="str">
        <f ca="1">IFERROR(IF(0=LEN(ReferenceData!$AU$115),"",ReferenceData!$AU$115),"")</f>
        <v/>
      </c>
      <c r="AV115" t="str">
        <f ca="1">IFERROR(IF(0=LEN(ReferenceData!$AV$115),"",ReferenceData!$AV$115),"")</f>
        <v/>
      </c>
      <c r="AW115" t="str">
        <f ca="1">IFERROR(IF(0=LEN(ReferenceData!$AW$115),"",ReferenceData!$AW$115),"")</f>
        <v/>
      </c>
      <c r="AX115" t="str">
        <f ca="1">IFERROR(IF(0=LEN(ReferenceData!$AX$115),"",ReferenceData!$AX$115),"")</f>
        <v/>
      </c>
      <c r="AY115" t="str">
        <f ca="1">IFERROR(IF(0=LEN(ReferenceData!$AY$115),"",ReferenceData!$AY$115),"")</f>
        <v/>
      </c>
      <c r="AZ115" t="str">
        <f ca="1">IFERROR(IF(0=LEN(ReferenceData!$AZ$115),"",ReferenceData!$AZ$115),"")</f>
        <v/>
      </c>
      <c r="BA115" t="str">
        <f ca="1">IFERROR(IF(0=LEN(ReferenceData!$BA$115),"",ReferenceData!$BA$115),"")</f>
        <v/>
      </c>
      <c r="BB115" t="str">
        <f ca="1">IFERROR(IF(0=LEN(ReferenceData!$BB$115),"",ReferenceData!$BB$115),"")</f>
        <v/>
      </c>
      <c r="BC115" t="str">
        <f ca="1">IFERROR(IF(0=LEN(ReferenceData!$BC$115),"",ReferenceData!$BC$115),"")</f>
        <v/>
      </c>
      <c r="BD115" t="str">
        <f ca="1">IFERROR(IF(0=LEN(ReferenceData!$BD$115),"",ReferenceData!$BD$115),"")</f>
        <v/>
      </c>
      <c r="BE115" t="str">
        <f ca="1">IFERROR(IF(0=LEN(ReferenceData!$BE$115),"",ReferenceData!$BE$115),"")</f>
        <v/>
      </c>
      <c r="BF115" t="str">
        <f ca="1">IFERROR(IF(0=LEN(ReferenceData!$BF$115),"",ReferenceData!$BF$115),"")</f>
        <v/>
      </c>
      <c r="BG115" t="str">
        <f ca="1">IFERROR(IF(0=LEN(ReferenceData!$BG$115),"",ReferenceData!$BG$115),"")</f>
        <v/>
      </c>
      <c r="BH115" t="str">
        <f ca="1">IFERROR(IF(0=LEN(ReferenceData!$BH$115),"",ReferenceData!$BH$115),"")</f>
        <v/>
      </c>
      <c r="BI115" t="str">
        <f ca="1">IFERROR(IF(0=LEN(ReferenceData!$BI$115),"",ReferenceData!$BI$115),"")</f>
        <v/>
      </c>
      <c r="BJ115" t="str">
        <f ca="1">IFERROR(IF(0=LEN(ReferenceData!$BJ$115),"",ReferenceData!$BJ$115),"")</f>
        <v/>
      </c>
      <c r="BK115" t="str">
        <f ca="1">IFERROR(IF(0=LEN(ReferenceData!$BK$115),"",ReferenceData!$BK$115),"")</f>
        <v/>
      </c>
      <c r="BL115" t="str">
        <f ca="1">IFERROR(IF(0=LEN(ReferenceData!$BL$115),"",ReferenceData!$BL$115),"")</f>
        <v/>
      </c>
      <c r="BM115" t="str">
        <f ca="1">IFERROR(IF(0=LEN(ReferenceData!$BM$115),"",ReferenceData!$BM$115),"")</f>
        <v/>
      </c>
    </row>
    <row r="116" spans="1:65">
      <c r="A116" t="str">
        <f>IFERROR(IF(0=LEN(ReferenceData!$A$116),"",ReferenceData!$A$116),"")</f>
        <v xml:space="preserve">    M&amp;T Bank Corp</v>
      </c>
      <c r="B116" t="str">
        <f>IFERROR(IF(0=LEN(ReferenceData!$B$116),"",ReferenceData!$B$116),"")</f>
        <v>MTB US Equity</v>
      </c>
      <c r="C116" t="str">
        <f>IFERROR(IF(0=LEN(ReferenceData!$C$116),"",ReferenceData!$C$116),"")</f>
        <v>BS960</v>
      </c>
      <c r="D116" t="str">
        <f>IFERROR(IF(0=LEN(ReferenceData!$D$116),"",ReferenceData!$D$116),"")</f>
        <v>BS_RESIDENT_MTG_SERVICED_OTHERS</v>
      </c>
      <c r="E116" t="str">
        <f>IFERROR(IF(0=LEN(ReferenceData!$E$116),"",ReferenceData!$E$116),"")</f>
        <v>Dynamic</v>
      </c>
      <c r="F116">
        <f ca="1">IFERROR(IF(0=LEN(ReferenceData!$F$116),"",ReferenceData!$F$116),"")</f>
        <v>149649</v>
      </c>
      <c r="G116">
        <f ca="1">IFERROR(IF(0=LEN(ReferenceData!$G$116),"",ReferenceData!$G$116),"")</f>
        <v>151304</v>
      </c>
      <c r="H116">
        <f ca="1">IFERROR(IF(0=LEN(ReferenceData!$H$116),"",ReferenceData!$H$116),"")</f>
        <v>151520</v>
      </c>
      <c r="I116">
        <f ca="1">IFERROR(IF(0=LEN(ReferenceData!$I$116),"",ReferenceData!$I$116),"")</f>
        <v>151562</v>
      </c>
      <c r="J116">
        <f ca="1">IFERROR(IF(0=LEN(ReferenceData!$J$116),"",ReferenceData!$J$116),"")</f>
        <v>155342</v>
      </c>
      <c r="K116">
        <f ca="1">IFERROR(IF(0=LEN(ReferenceData!$K$116),"",ReferenceData!$K$116),"")</f>
        <v>155103.10699999999</v>
      </c>
      <c r="L116">
        <f ca="1">IFERROR(IF(0=LEN(ReferenceData!$L$116),"",ReferenceData!$L$116),"")</f>
        <v>153700</v>
      </c>
      <c r="M116">
        <f ca="1">IFERROR(IF(0=LEN(ReferenceData!$M$116),"",ReferenceData!$M$116),"")</f>
        <v>139500</v>
      </c>
      <c r="N116">
        <f ca="1">IFERROR(IF(0=LEN(ReferenceData!$N$116),"",ReferenceData!$N$116),"")</f>
        <v>118400</v>
      </c>
      <c r="O116">
        <f ca="1">IFERROR(IF(0=LEN(ReferenceData!$O$116),"",ReferenceData!$O$116),"")</f>
        <v>104000</v>
      </c>
      <c r="P116">
        <f ca="1">IFERROR(IF(0=LEN(ReferenceData!$P$116),"",ReferenceData!$P$116),"")</f>
        <v>102500</v>
      </c>
      <c r="Q116">
        <f ca="1">IFERROR(IF(0=LEN(ReferenceData!$Q$116),"",ReferenceData!$Q$116),"")</f>
        <v>95000</v>
      </c>
      <c r="R116">
        <f ca="1">IFERROR(IF(0=LEN(ReferenceData!$R$116),"",ReferenceData!$R$116),"")</f>
        <v>97900</v>
      </c>
      <c r="S116">
        <f ca="1">IFERROR(IF(0=LEN(ReferenceData!$S$116),"",ReferenceData!$S$116),"")</f>
        <v>97100</v>
      </c>
      <c r="T116">
        <f ca="1">IFERROR(IF(0=LEN(ReferenceData!$T$116),"",ReferenceData!$T$116),"")</f>
        <v>97100</v>
      </c>
      <c r="U116">
        <f ca="1">IFERROR(IF(0=LEN(ReferenceData!$U$116),"",ReferenceData!$U$116),"")</f>
        <v>92500</v>
      </c>
      <c r="V116">
        <f ca="1">IFERROR(IF(0=LEN(ReferenceData!$V$116),"",ReferenceData!$V$116),"")</f>
        <v>94400</v>
      </c>
      <c r="W116">
        <f ca="1">IFERROR(IF(0=LEN(ReferenceData!$W$116),"",ReferenceData!$W$116),"")</f>
        <v>571</v>
      </c>
      <c r="X116">
        <f ca="1">IFERROR(IF(0=LEN(ReferenceData!$X$116),"",ReferenceData!$X$116),"")</f>
        <v>95100</v>
      </c>
      <c r="Y116">
        <f ca="1">IFERROR(IF(0=LEN(ReferenceData!$Y$116),"",ReferenceData!$Y$116),"")</f>
        <v>93500</v>
      </c>
      <c r="Z116">
        <f ca="1">IFERROR(IF(0=LEN(ReferenceData!$Z$116),"",ReferenceData!$Z$116),"")</f>
        <v>95100</v>
      </c>
      <c r="AA116">
        <f ca="1">IFERROR(IF(0=LEN(ReferenceData!$AA$116),"",ReferenceData!$AA$116),"")</f>
        <v>98300</v>
      </c>
      <c r="AB116">
        <f ca="1">IFERROR(IF(0=LEN(ReferenceData!$AB$116),"",ReferenceData!$AB$116),"")</f>
        <v>102900</v>
      </c>
      <c r="AC116">
        <f ca="1">IFERROR(IF(0=LEN(ReferenceData!$AC$116),"",ReferenceData!$AC$116),"")</f>
        <v>90100</v>
      </c>
      <c r="AD116">
        <f ca="1">IFERROR(IF(0=LEN(ReferenceData!$AD$116),"",ReferenceData!$AD$116),"")</f>
        <v>79100</v>
      </c>
      <c r="AE116">
        <f ca="1">IFERROR(IF(0=LEN(ReferenceData!$AE$116),"",ReferenceData!$AE$116),"")</f>
        <v>82700</v>
      </c>
      <c r="AF116">
        <f ca="1">IFERROR(IF(0=LEN(ReferenceData!$AF$116),"",ReferenceData!$AF$116),"")</f>
        <v>76000</v>
      </c>
      <c r="AG116">
        <f ca="1">IFERROR(IF(0=LEN(ReferenceData!$AG$116),"",ReferenceData!$AG$116),"")</f>
        <v>78300</v>
      </c>
      <c r="AH116">
        <f ca="1">IFERROR(IF(0=LEN(ReferenceData!$AH$116),"",ReferenceData!$AH$116),"")</f>
        <v>79200</v>
      </c>
      <c r="AI116">
        <f ca="1">IFERROR(IF(0=LEN(ReferenceData!$AI$116),"",ReferenceData!$AI$116),"")</f>
        <v>81900</v>
      </c>
      <c r="AJ116">
        <f ca="1">IFERROR(IF(0=LEN(ReferenceData!$AJ$116),"",ReferenceData!$AJ$116),"")</f>
        <v>72600</v>
      </c>
      <c r="AK116">
        <f ca="1">IFERROR(IF(0=LEN(ReferenceData!$AK$116),"",ReferenceData!$AK$116),"")</f>
        <v>63700</v>
      </c>
      <c r="AL116">
        <f ca="1">IFERROR(IF(0=LEN(ReferenceData!$AL$116),"",ReferenceData!$AL$116),"")</f>
        <v>53200</v>
      </c>
      <c r="AM116">
        <f ca="1">IFERROR(IF(0=LEN(ReferenceData!$AM$116),"",ReferenceData!$AM$116),"")</f>
        <v>55000</v>
      </c>
      <c r="AN116">
        <f ca="1">IFERROR(IF(0=LEN(ReferenceData!$AN$116),"",ReferenceData!$AN$116),"")</f>
        <v>57800</v>
      </c>
      <c r="AO116">
        <f ca="1">IFERROR(IF(0=LEN(ReferenceData!$AO$116),"",ReferenceData!$AO$116),"")</f>
        <v>60000</v>
      </c>
      <c r="AP116">
        <f ca="1">IFERROR(IF(0=LEN(ReferenceData!$AP$116),"",ReferenceData!$AP$116),"")</f>
        <v>61700</v>
      </c>
      <c r="AQ116">
        <f ca="1">IFERROR(IF(0=LEN(ReferenceData!$AQ$116),"",ReferenceData!$AQ$116),"")</f>
        <v>64300</v>
      </c>
      <c r="AR116">
        <f ca="1">IFERROR(IF(0=LEN(ReferenceData!$AR$116),"",ReferenceData!$AR$116),"")</f>
        <v>66500</v>
      </c>
      <c r="AS116">
        <f ca="1">IFERROR(IF(0=LEN(ReferenceData!$AS$116),"",ReferenceData!$AS$116),"")</f>
        <v>65000</v>
      </c>
      <c r="AT116">
        <f ca="1">IFERROR(IF(0=LEN(ReferenceData!$AT$116),"",ReferenceData!$AT$116),"")</f>
        <v>64400</v>
      </c>
      <c r="AU116">
        <f ca="1">IFERROR(IF(0=LEN(ReferenceData!$AU$116),"",ReferenceData!$AU$116),"")</f>
        <v>5000</v>
      </c>
      <c r="AV116">
        <f ca="1">IFERROR(IF(0=LEN(ReferenceData!$AV$116),"",ReferenceData!$AV$116),"")</f>
        <v>68000</v>
      </c>
      <c r="AW116">
        <f ca="1">IFERROR(IF(0=LEN(ReferenceData!$AW$116),"",ReferenceData!$AW$116),"")</f>
        <v>69900</v>
      </c>
      <c r="AX116">
        <f ca="1">IFERROR(IF(0=LEN(ReferenceData!$AX$116),"",ReferenceData!$AX$116),"")</f>
        <v>69100</v>
      </c>
      <c r="AY116">
        <f ca="1">IFERROR(IF(0=LEN(ReferenceData!$AY$116),"",ReferenceData!$AY$116),"")</f>
        <v>68800</v>
      </c>
      <c r="AZ116">
        <f ca="1">IFERROR(IF(0=LEN(ReferenceData!$AZ$116),"",ReferenceData!$AZ$116),"")</f>
        <v>32300</v>
      </c>
      <c r="BA116">
        <f ca="1">IFERROR(IF(0=LEN(ReferenceData!$BA$116),"",ReferenceData!$BA$116),"")</f>
        <v>32100</v>
      </c>
      <c r="BB116">
        <f ca="1">IFERROR(IF(0=LEN(ReferenceData!$BB$116),"",ReferenceData!$BB$116),"")</f>
        <v>32100</v>
      </c>
      <c r="BC116">
        <f ca="1">IFERROR(IF(0=LEN(ReferenceData!$BC$116),"",ReferenceData!$BC$116),"")</f>
        <v>32400</v>
      </c>
      <c r="BD116">
        <f ca="1">IFERROR(IF(0=LEN(ReferenceData!$BD$116),"",ReferenceData!$BD$116),"")</f>
        <v>33700</v>
      </c>
      <c r="BE116">
        <f ca="1">IFERROR(IF(0=LEN(ReferenceData!$BE$116),"",ReferenceData!$BE$116),"")</f>
        <v>35100</v>
      </c>
      <c r="BF116">
        <f ca="1">IFERROR(IF(0=LEN(ReferenceData!$BF$116),"",ReferenceData!$BF$116),"")</f>
        <v>36300</v>
      </c>
      <c r="BG116">
        <f ca="1">IFERROR(IF(0=LEN(ReferenceData!$BG$116),"",ReferenceData!$BG$116),"")</f>
        <v>23400</v>
      </c>
      <c r="BH116">
        <f ca="1">IFERROR(IF(0=LEN(ReferenceData!$BH$116),"",ReferenceData!$BH$116),"")</f>
        <v>16800</v>
      </c>
      <c r="BI116">
        <f ca="1">IFERROR(IF(0=LEN(ReferenceData!$BI$116),"",ReferenceData!$BI$116),"")</f>
        <v>16300</v>
      </c>
      <c r="BJ116">
        <f ca="1">IFERROR(IF(0=LEN(ReferenceData!$BJ$116),"",ReferenceData!$BJ$116),"")</f>
        <v>15900</v>
      </c>
      <c r="BK116">
        <f ca="1">IFERROR(IF(0=LEN(ReferenceData!$BK$116),"",ReferenceData!$BK$116),"")</f>
        <v>15900</v>
      </c>
      <c r="BL116">
        <f ca="1">IFERROR(IF(0=LEN(ReferenceData!$BL$116),"",ReferenceData!$BL$116),"")</f>
        <v>15800</v>
      </c>
      <c r="BM116" t="str">
        <f ca="1">IFERROR(IF(0=LEN(ReferenceData!$BM$116),"",ReferenceData!$BM$116),"")</f>
        <v/>
      </c>
    </row>
    <row r="117" spans="1:65">
      <c r="A117" t="str">
        <f>IFERROR(IF(0=LEN(ReferenceData!$A$117),"",ReferenceData!$A$117),"")</f>
        <v xml:space="preserve">    PNC Financial Services Group I</v>
      </c>
      <c r="B117" t="str">
        <f>IFERROR(IF(0=LEN(ReferenceData!$B$117),"",ReferenceData!$B$117),"")</f>
        <v>PNC US Equity</v>
      </c>
      <c r="C117" t="str">
        <f>IFERROR(IF(0=LEN(ReferenceData!$C$117),"",ReferenceData!$C$117),"")</f>
        <v>BS960</v>
      </c>
      <c r="D117" t="str">
        <f>IFERROR(IF(0=LEN(ReferenceData!$D$117),"",ReferenceData!$D$117),"")</f>
        <v>BS_RESIDENT_MTG_SERVICED_OTHERS</v>
      </c>
      <c r="E117" t="str">
        <f>IFERROR(IF(0=LEN(ReferenceData!$E$117),"",ReferenceData!$E$117),"")</f>
        <v>Dynamic</v>
      </c>
      <c r="F117" t="str">
        <f ca="1">IFERROR(IF(0=LEN(ReferenceData!$F$117),"",ReferenceData!$F$117),"")</f>
        <v/>
      </c>
      <c r="G117">
        <f ca="1">IFERROR(IF(0=LEN(ReferenceData!$G$117),"",ReferenceData!$G$117),"")</f>
        <v>200000</v>
      </c>
      <c r="H117">
        <f ca="1">IFERROR(IF(0=LEN(ReferenceData!$H$117),"",ReferenceData!$H$117),"")</f>
        <v>204000</v>
      </c>
      <c r="I117">
        <f ca="1">IFERROR(IF(0=LEN(ReferenceData!$I$117),"",ReferenceData!$I$117),"")</f>
        <v>207000</v>
      </c>
      <c r="J117">
        <f ca="1">IFERROR(IF(0=LEN(ReferenceData!$J$117),"",ReferenceData!$J$117),"")</f>
        <v>209000</v>
      </c>
      <c r="K117">
        <f ca="1">IFERROR(IF(0=LEN(ReferenceData!$K$117),"",ReferenceData!$K$117),"")</f>
        <v>213000</v>
      </c>
      <c r="L117">
        <f ca="1">IFERROR(IF(0=LEN(ReferenceData!$L$117),"",ReferenceData!$L$117),"")</f>
        <v>191000</v>
      </c>
      <c r="M117">
        <f ca="1">IFERROR(IF(0=LEN(ReferenceData!$M$117),"",ReferenceData!$M$117),"")</f>
        <v>188000</v>
      </c>
      <c r="N117">
        <f ca="1">IFERROR(IF(0=LEN(ReferenceData!$N$117),"",ReferenceData!$N$117),"")</f>
        <v>190000</v>
      </c>
      <c r="O117">
        <f ca="1">IFERROR(IF(0=LEN(ReferenceData!$O$117),"",ReferenceData!$O$117),"")</f>
        <v>170000</v>
      </c>
      <c r="P117">
        <f ca="1">IFERROR(IF(0=LEN(ReferenceData!$P$117),"",ReferenceData!$P$117),"")</f>
        <v>145000</v>
      </c>
      <c r="Q117">
        <f ca="1">IFERROR(IF(0=LEN(ReferenceData!$Q$117),"",ReferenceData!$Q$117),"")</f>
        <v>135000</v>
      </c>
      <c r="R117">
        <f ca="1">IFERROR(IF(0=LEN(ReferenceData!$R$117),"",ReferenceData!$R$117),"")</f>
        <v>133000</v>
      </c>
      <c r="S117">
        <f ca="1">IFERROR(IF(0=LEN(ReferenceData!$S$117),"",ReferenceData!$S$117),"")</f>
        <v>139000</v>
      </c>
      <c r="T117">
        <f ca="1">IFERROR(IF(0=LEN(ReferenceData!$T$117),"",ReferenceData!$T$117),"")</f>
        <v>145000</v>
      </c>
      <c r="U117">
        <f ca="1">IFERROR(IF(0=LEN(ReferenceData!$U$117),"",ReferenceData!$U$117),"")</f>
        <v>117000</v>
      </c>
      <c r="V117">
        <f ca="1">IFERROR(IF(0=LEN(ReferenceData!$V$117),"",ReferenceData!$V$117),"")</f>
        <v>121000</v>
      </c>
      <c r="W117">
        <f ca="1">IFERROR(IF(0=LEN(ReferenceData!$W$117),"",ReferenceData!$W$117),"")</f>
        <v>119000</v>
      </c>
      <c r="X117">
        <f ca="1">IFERROR(IF(0=LEN(ReferenceData!$X$117),"",ReferenceData!$X$117),"")</f>
        <v>122000</v>
      </c>
      <c r="Y117">
        <f ca="1">IFERROR(IF(0=LEN(ReferenceData!$Y$117),"",ReferenceData!$Y$117),"")</f>
        <v>118000</v>
      </c>
      <c r="Z117">
        <f ca="1">IFERROR(IF(0=LEN(ReferenceData!$Z$117),"",ReferenceData!$Z$117),"")</f>
        <v>120000</v>
      </c>
      <c r="AA117">
        <f ca="1">IFERROR(IF(0=LEN(ReferenceData!$AA$117),"",ReferenceData!$AA$117),"")</f>
        <v>123000</v>
      </c>
      <c r="AB117">
        <f ca="1">IFERROR(IF(0=LEN(ReferenceData!$AB$117),"",ReferenceData!$AB$117),"")</f>
        <v>124000</v>
      </c>
      <c r="AC117">
        <f ca="1">IFERROR(IF(0=LEN(ReferenceData!$AC$117),"",ReferenceData!$AC$117),"")</f>
        <v>123000</v>
      </c>
      <c r="AD117">
        <f ca="1">IFERROR(IF(0=LEN(ReferenceData!$AD$117),"",ReferenceData!$AD$117),"")</f>
        <v>125000</v>
      </c>
      <c r="AE117">
        <f ca="1">IFERROR(IF(0=LEN(ReferenceData!$AE$117),"",ReferenceData!$AE$117),"")</f>
        <v>127000</v>
      </c>
      <c r="AF117">
        <f ca="1">IFERROR(IF(0=LEN(ReferenceData!$AF$117),"",ReferenceData!$AF$117),"")</f>
        <v>124000</v>
      </c>
      <c r="AG117">
        <f ca="1">IFERROR(IF(0=LEN(ReferenceData!$AG$117),"",ReferenceData!$AG$117),"")</f>
        <v>125000</v>
      </c>
      <c r="AH117">
        <f ca="1">IFERROR(IF(0=LEN(ReferenceData!$AH$117),"",ReferenceData!$AH$117),"")</f>
        <v>127000</v>
      </c>
      <c r="AI117">
        <f ca="1">IFERROR(IF(0=LEN(ReferenceData!$AI$117),"",ReferenceData!$AI$117),"")</f>
        <v>129000</v>
      </c>
      <c r="AJ117">
        <f ca="1">IFERROR(IF(0=LEN(ReferenceData!$AJ$117),"",ReferenceData!$AJ$117),"")</f>
        <v>131000</v>
      </c>
      <c r="AK117">
        <f ca="1">IFERROR(IF(0=LEN(ReferenceData!$AK$117),"",ReferenceData!$AK$117),"")</f>
        <v>130000</v>
      </c>
      <c r="AL117" t="str">
        <f ca="1">IFERROR(IF(0=LEN(ReferenceData!$AL$117),"",ReferenceData!$AL$117),"")</f>
        <v/>
      </c>
      <c r="AM117">
        <f ca="1">IFERROR(IF(0=LEN(ReferenceData!$AM$117),"",ReferenceData!$AM$117),"")</f>
        <v>126000</v>
      </c>
      <c r="AN117">
        <f ca="1">IFERROR(IF(0=LEN(ReferenceData!$AN$117),"",ReferenceData!$AN$117),"")</f>
        <v>126000</v>
      </c>
      <c r="AO117">
        <f ca="1">IFERROR(IF(0=LEN(ReferenceData!$AO$117),"",ReferenceData!$AO$117),"")</f>
        <v>125000</v>
      </c>
      <c r="AP117">
        <f ca="1">IFERROR(IF(0=LEN(ReferenceData!$AP$117),"",ReferenceData!$AP$117),"")</f>
        <v>123000</v>
      </c>
      <c r="AQ117">
        <f ca="1">IFERROR(IF(0=LEN(ReferenceData!$AQ$117),"",ReferenceData!$AQ$117),"")</f>
        <v>122000</v>
      </c>
      <c r="AR117">
        <f ca="1">IFERROR(IF(0=LEN(ReferenceData!$AR$117),"",ReferenceData!$AR$117),"")</f>
        <v>115000</v>
      </c>
      <c r="AS117">
        <f ca="1">IFERROR(IF(0=LEN(ReferenceData!$AS$117),"",ReferenceData!$AS$117),"")</f>
        <v>113000</v>
      </c>
      <c r="AT117">
        <f ca="1">IFERROR(IF(0=LEN(ReferenceData!$AT$117),"",ReferenceData!$AT$117),"")</f>
        <v>108000</v>
      </c>
      <c r="AU117">
        <f ca="1">IFERROR(IF(0=LEN(ReferenceData!$AU$117),"",ReferenceData!$AU$117),"")</f>
        <v>111000</v>
      </c>
      <c r="AV117">
        <f ca="1">IFERROR(IF(0=LEN(ReferenceData!$AV$117),"",ReferenceData!$AV$117),"")</f>
        <v>111000</v>
      </c>
      <c r="AW117">
        <f ca="1">IFERROR(IF(0=LEN(ReferenceData!$AW$117),"",ReferenceData!$AW$117),"")</f>
        <v>114000</v>
      </c>
      <c r="AX117">
        <f ca="1">IFERROR(IF(0=LEN(ReferenceData!$AX$117),"",ReferenceData!$AX$117),"")</f>
        <v>114000</v>
      </c>
      <c r="AY117">
        <f ca="1">IFERROR(IF(0=LEN(ReferenceData!$AY$117),"",ReferenceData!$AY$117),"")</f>
        <v>115000</v>
      </c>
      <c r="AZ117">
        <f ca="1">IFERROR(IF(0=LEN(ReferenceData!$AZ$117),"",ReferenceData!$AZ$117),"")</f>
        <v>116000</v>
      </c>
      <c r="BA117">
        <f ca="1">IFERROR(IF(0=LEN(ReferenceData!$BA$117),"",ReferenceData!$BA$117),"")</f>
        <v>120000</v>
      </c>
      <c r="BB117">
        <f ca="1">IFERROR(IF(0=LEN(ReferenceData!$BB$117),"",ReferenceData!$BB$117),"")</f>
        <v>119000</v>
      </c>
      <c r="BC117">
        <f ca="1">IFERROR(IF(0=LEN(ReferenceData!$BC$117),"",ReferenceData!$BC$117),"")</f>
        <v>119246</v>
      </c>
      <c r="BD117">
        <f ca="1">IFERROR(IF(0=LEN(ReferenceData!$BD$117),"",ReferenceData!$BD$117),"")</f>
        <v>116000</v>
      </c>
      <c r="BE117">
        <f ca="1">IFERROR(IF(0=LEN(ReferenceData!$BE$117),"",ReferenceData!$BE$117),"")</f>
        <v>121000</v>
      </c>
      <c r="BF117">
        <f ca="1">IFERROR(IF(0=LEN(ReferenceData!$BF$117),"",ReferenceData!$BF$117),"")</f>
        <v>118000</v>
      </c>
      <c r="BG117">
        <f ca="1">IFERROR(IF(0=LEN(ReferenceData!$BG$117),"",ReferenceData!$BG$117),"")</f>
        <v>121000</v>
      </c>
      <c r="BH117">
        <f ca="1">IFERROR(IF(0=LEN(ReferenceData!$BH$117),"",ReferenceData!$BH$117),"")</f>
        <v>125000</v>
      </c>
      <c r="BI117">
        <f ca="1">IFERROR(IF(0=LEN(ReferenceData!$BI$117),"",ReferenceData!$BI$117),"")</f>
        <v>127000</v>
      </c>
      <c r="BJ117">
        <f ca="1">IFERROR(IF(0=LEN(ReferenceData!$BJ$117),"",ReferenceData!$BJ$117),"")</f>
        <v>125000</v>
      </c>
      <c r="BK117">
        <f ca="1">IFERROR(IF(0=LEN(ReferenceData!$BK$117),"",ReferenceData!$BK$117),"")</f>
        <v>131000</v>
      </c>
      <c r="BL117">
        <f ca="1">IFERROR(IF(0=LEN(ReferenceData!$BL$117),"",ReferenceData!$BL$117),"")</f>
        <v>137000</v>
      </c>
      <c r="BM117">
        <f ca="1">IFERROR(IF(0=LEN(ReferenceData!$BM$117),"",ReferenceData!$BM$117),"")</f>
        <v>141000</v>
      </c>
    </row>
    <row r="118" spans="1:65">
      <c r="A118" t="str">
        <f>IFERROR(IF(0=LEN(ReferenceData!$A$118),"",ReferenceData!$A$118),"")</f>
        <v xml:space="preserve">    Regions Financial Corp</v>
      </c>
      <c r="B118" t="str">
        <f>IFERROR(IF(0=LEN(ReferenceData!$B$118),"",ReferenceData!$B$118),"")</f>
        <v>RF US Equity</v>
      </c>
      <c r="C118" t="str">
        <f>IFERROR(IF(0=LEN(ReferenceData!$C$118),"",ReferenceData!$C$118),"")</f>
        <v>BS960</v>
      </c>
      <c r="D118" t="str">
        <f>IFERROR(IF(0=LEN(ReferenceData!$D$118),"",ReferenceData!$D$118),"")</f>
        <v>BS_RESIDENT_MTG_SERVICED_OTHERS</v>
      </c>
      <c r="E118" t="str">
        <f>IFERROR(IF(0=LEN(ReferenceData!$E$118),"",ReferenceData!$E$118),"")</f>
        <v>Dynamic</v>
      </c>
      <c r="F118" t="str">
        <f ca="1">IFERROR(IF(0=LEN(ReferenceData!$F$118),"",ReferenceData!$F$118),"")</f>
        <v/>
      </c>
      <c r="G118" t="str">
        <f ca="1">IFERROR(IF(0=LEN(ReferenceData!$G$118),"",ReferenceData!$G$118),"")</f>
        <v/>
      </c>
      <c r="H118" t="str">
        <f ca="1">IFERROR(IF(0=LEN(ReferenceData!$H$118),"",ReferenceData!$H$118),"")</f>
        <v/>
      </c>
      <c r="I118" t="str">
        <f ca="1">IFERROR(IF(0=LEN(ReferenceData!$I$118),"",ReferenceData!$I$118),"")</f>
        <v/>
      </c>
      <c r="J118" t="str">
        <f ca="1">IFERROR(IF(0=LEN(ReferenceData!$J$118),"",ReferenceData!$J$118),"")</f>
        <v/>
      </c>
      <c r="K118" t="str">
        <f ca="1">IFERROR(IF(0=LEN(ReferenceData!$K$118),"",ReferenceData!$K$118),"")</f>
        <v/>
      </c>
      <c r="L118" t="str">
        <f ca="1">IFERROR(IF(0=LEN(ReferenceData!$L$118),"",ReferenceData!$L$118),"")</f>
        <v/>
      </c>
      <c r="M118" t="str">
        <f ca="1">IFERROR(IF(0=LEN(ReferenceData!$M$118),"",ReferenceData!$M$118),"")</f>
        <v/>
      </c>
      <c r="N118" t="str">
        <f ca="1">IFERROR(IF(0=LEN(ReferenceData!$N$118),"",ReferenceData!$N$118),"")</f>
        <v/>
      </c>
      <c r="O118" t="str">
        <f ca="1">IFERROR(IF(0=LEN(ReferenceData!$O$118),"",ReferenceData!$O$118),"")</f>
        <v/>
      </c>
      <c r="P118" t="str">
        <f ca="1">IFERROR(IF(0=LEN(ReferenceData!$P$118),"",ReferenceData!$P$118),"")</f>
        <v/>
      </c>
      <c r="Q118" t="str">
        <f ca="1">IFERROR(IF(0=LEN(ReferenceData!$Q$118),"",ReferenceData!$Q$118),"")</f>
        <v/>
      </c>
      <c r="R118" t="str">
        <f ca="1">IFERROR(IF(0=LEN(ReferenceData!$R$118),"",ReferenceData!$R$118),"")</f>
        <v/>
      </c>
      <c r="S118" t="str">
        <f ca="1">IFERROR(IF(0=LEN(ReferenceData!$S$118),"",ReferenceData!$S$118),"")</f>
        <v/>
      </c>
      <c r="T118" t="str">
        <f ca="1">IFERROR(IF(0=LEN(ReferenceData!$T$118),"",ReferenceData!$T$118),"")</f>
        <v/>
      </c>
      <c r="U118" t="str">
        <f ca="1">IFERROR(IF(0=LEN(ReferenceData!$U$118),"",ReferenceData!$U$118),"")</f>
        <v/>
      </c>
      <c r="V118" t="str">
        <f ca="1">IFERROR(IF(0=LEN(ReferenceData!$V$118),"",ReferenceData!$V$118),"")</f>
        <v/>
      </c>
      <c r="W118" t="str">
        <f ca="1">IFERROR(IF(0=LEN(ReferenceData!$W$118),"",ReferenceData!$W$118),"")</f>
        <v/>
      </c>
      <c r="X118" t="str">
        <f ca="1">IFERROR(IF(0=LEN(ReferenceData!$X$118),"",ReferenceData!$X$118),"")</f>
        <v/>
      </c>
      <c r="Y118" t="str">
        <f ca="1">IFERROR(IF(0=LEN(ReferenceData!$Y$118),"",ReferenceData!$Y$118),"")</f>
        <v/>
      </c>
      <c r="Z118" t="str">
        <f ca="1">IFERROR(IF(0=LEN(ReferenceData!$Z$118),"",ReferenceData!$Z$118),"")</f>
        <v/>
      </c>
      <c r="AA118" t="str">
        <f ca="1">IFERROR(IF(0=LEN(ReferenceData!$AA$118),"",ReferenceData!$AA$118),"")</f>
        <v/>
      </c>
      <c r="AB118" t="str">
        <f ca="1">IFERROR(IF(0=LEN(ReferenceData!$AB$118),"",ReferenceData!$AB$118),"")</f>
        <v/>
      </c>
      <c r="AC118" t="str">
        <f ca="1">IFERROR(IF(0=LEN(ReferenceData!$AC$118),"",ReferenceData!$AC$118),"")</f>
        <v/>
      </c>
      <c r="AD118" t="str">
        <f ca="1">IFERROR(IF(0=LEN(ReferenceData!$AD$118),"",ReferenceData!$AD$118),"")</f>
        <v/>
      </c>
      <c r="AE118" t="str">
        <f ca="1">IFERROR(IF(0=LEN(ReferenceData!$AE$118),"",ReferenceData!$AE$118),"")</f>
        <v/>
      </c>
      <c r="AF118" t="str">
        <f ca="1">IFERROR(IF(0=LEN(ReferenceData!$AF$118),"",ReferenceData!$AF$118),"")</f>
        <v/>
      </c>
      <c r="AG118" t="str">
        <f ca="1">IFERROR(IF(0=LEN(ReferenceData!$AG$118),"",ReferenceData!$AG$118),"")</f>
        <v/>
      </c>
      <c r="AH118" t="str">
        <f ca="1">IFERROR(IF(0=LEN(ReferenceData!$AH$118),"",ReferenceData!$AH$118),"")</f>
        <v/>
      </c>
      <c r="AI118" t="str">
        <f ca="1">IFERROR(IF(0=LEN(ReferenceData!$AI$118),"",ReferenceData!$AI$118),"")</f>
        <v/>
      </c>
      <c r="AJ118" t="str">
        <f ca="1">IFERROR(IF(0=LEN(ReferenceData!$AJ$118),"",ReferenceData!$AJ$118),"")</f>
        <v/>
      </c>
      <c r="AK118" t="str">
        <f ca="1">IFERROR(IF(0=LEN(ReferenceData!$AK$118),"",ReferenceData!$AK$118),"")</f>
        <v/>
      </c>
      <c r="AL118" t="str">
        <f ca="1">IFERROR(IF(0=LEN(ReferenceData!$AL$118),"",ReferenceData!$AL$118),"")</f>
        <v/>
      </c>
      <c r="AM118" t="str">
        <f ca="1">IFERROR(IF(0=LEN(ReferenceData!$AM$118),"",ReferenceData!$AM$118),"")</f>
        <v/>
      </c>
      <c r="AN118" t="str">
        <f ca="1">IFERROR(IF(0=LEN(ReferenceData!$AN$118),"",ReferenceData!$AN$118),"")</f>
        <v/>
      </c>
      <c r="AO118" t="str">
        <f ca="1">IFERROR(IF(0=LEN(ReferenceData!$AO$118),"",ReferenceData!$AO$118),"")</f>
        <v/>
      </c>
      <c r="AP118" t="str">
        <f ca="1">IFERROR(IF(0=LEN(ReferenceData!$AP$118),"",ReferenceData!$AP$118),"")</f>
        <v/>
      </c>
      <c r="AQ118" t="str">
        <f ca="1">IFERROR(IF(0=LEN(ReferenceData!$AQ$118),"",ReferenceData!$AQ$118),"")</f>
        <v/>
      </c>
      <c r="AR118" t="str">
        <f ca="1">IFERROR(IF(0=LEN(ReferenceData!$AR$118),"",ReferenceData!$AR$118),"")</f>
        <v/>
      </c>
      <c r="AS118" t="str">
        <f ca="1">IFERROR(IF(0=LEN(ReferenceData!$AS$118),"",ReferenceData!$AS$118),"")</f>
        <v/>
      </c>
      <c r="AT118" t="str">
        <f ca="1">IFERROR(IF(0=LEN(ReferenceData!$AT$118),"",ReferenceData!$AT$118),"")</f>
        <v/>
      </c>
      <c r="AU118" t="str">
        <f ca="1">IFERROR(IF(0=LEN(ReferenceData!$AU$118),"",ReferenceData!$AU$118),"")</f>
        <v/>
      </c>
      <c r="AV118" t="str">
        <f ca="1">IFERROR(IF(0=LEN(ReferenceData!$AV$118),"",ReferenceData!$AV$118),"")</f>
        <v/>
      </c>
      <c r="AW118" t="str">
        <f ca="1">IFERROR(IF(0=LEN(ReferenceData!$AW$118),"",ReferenceData!$AW$118),"")</f>
        <v/>
      </c>
      <c r="AX118">
        <f ca="1">IFERROR(IF(0=LEN(ReferenceData!$AX$118),"",ReferenceData!$AX$118),"")</f>
        <v>28500</v>
      </c>
      <c r="AY118" t="str">
        <f ca="1">IFERROR(IF(0=LEN(ReferenceData!$AY$118),"",ReferenceData!$AY$118),"")</f>
        <v/>
      </c>
      <c r="AZ118" t="str">
        <f ca="1">IFERROR(IF(0=LEN(ReferenceData!$AZ$118),"",ReferenceData!$AZ$118),"")</f>
        <v/>
      </c>
      <c r="BA118" t="str">
        <f ca="1">IFERROR(IF(0=LEN(ReferenceData!$BA$118),"",ReferenceData!$BA$118),"")</f>
        <v/>
      </c>
      <c r="BB118">
        <f ca="1">IFERROR(IF(0=LEN(ReferenceData!$BB$118),"",ReferenceData!$BB$118),"")</f>
        <v>26200</v>
      </c>
      <c r="BC118" t="str">
        <f ca="1">IFERROR(IF(0=LEN(ReferenceData!$BC$118),"",ReferenceData!$BC$118),"")</f>
        <v/>
      </c>
      <c r="BD118" t="str">
        <f ca="1">IFERROR(IF(0=LEN(ReferenceData!$BD$118),"",ReferenceData!$BD$118),"")</f>
        <v/>
      </c>
      <c r="BE118" t="str">
        <f ca="1">IFERROR(IF(0=LEN(ReferenceData!$BE$118),"",ReferenceData!$BE$118),"")</f>
        <v/>
      </c>
      <c r="BF118">
        <f ca="1">IFERROR(IF(0=LEN(ReferenceData!$BF$118),"",ReferenceData!$BF$118),"")</f>
        <v>26700</v>
      </c>
      <c r="BG118" t="str">
        <f ca="1">IFERROR(IF(0=LEN(ReferenceData!$BG$118),"",ReferenceData!$BG$118),"")</f>
        <v/>
      </c>
      <c r="BH118" t="str">
        <f ca="1">IFERROR(IF(0=LEN(ReferenceData!$BH$118),"",ReferenceData!$BH$118),"")</f>
        <v/>
      </c>
      <c r="BI118" t="str">
        <f ca="1">IFERROR(IF(0=LEN(ReferenceData!$BI$118),"",ReferenceData!$BI$118),"")</f>
        <v/>
      </c>
      <c r="BJ118">
        <f ca="1">IFERROR(IF(0=LEN(ReferenceData!$BJ$118),"",ReferenceData!$BJ$118),"")</f>
        <v>26000</v>
      </c>
      <c r="BK118" t="str">
        <f ca="1">IFERROR(IF(0=LEN(ReferenceData!$BK$118),"",ReferenceData!$BK$118),"")</f>
        <v/>
      </c>
      <c r="BL118" t="str">
        <f ca="1">IFERROR(IF(0=LEN(ReferenceData!$BL$118),"",ReferenceData!$BL$118),"")</f>
        <v/>
      </c>
      <c r="BM118" t="str">
        <f ca="1">IFERROR(IF(0=LEN(ReferenceData!$BM$118),"",ReferenceData!$BM$118),"")</f>
        <v/>
      </c>
    </row>
    <row r="119" spans="1:65">
      <c r="A119" t="str">
        <f>IFERROR(IF(0=LEN(ReferenceData!$A$119),"",ReferenceData!$A$119),"")</f>
        <v xml:space="preserve">    Signature Bank/New York NY</v>
      </c>
      <c r="B119" t="str">
        <f>IFERROR(IF(0=LEN(ReferenceData!$B$119),"",ReferenceData!$B$119),"")</f>
        <v>SBNY US Equity</v>
      </c>
      <c r="C119" t="str">
        <f>IFERROR(IF(0=LEN(ReferenceData!$C$119),"",ReferenceData!$C$119),"")</f>
        <v>BS960</v>
      </c>
      <c r="D119" t="str">
        <f>IFERROR(IF(0=LEN(ReferenceData!$D$119),"",ReferenceData!$D$119),"")</f>
        <v>BS_RESIDENT_MTG_SERVICED_OTHERS</v>
      </c>
      <c r="E119" t="str">
        <f>IFERROR(IF(0=LEN(ReferenceData!$E$119),"",ReferenceData!$E$119),"")</f>
        <v>Dynamic</v>
      </c>
      <c r="F119" t="str">
        <f ca="1">IFERROR(IF(0=LEN(ReferenceData!$F$119),"",ReferenceData!$F$119),"")</f>
        <v/>
      </c>
      <c r="G119" t="str">
        <f ca="1">IFERROR(IF(0=LEN(ReferenceData!$G$119),"",ReferenceData!$G$119),"")</f>
        <v/>
      </c>
      <c r="H119" t="str">
        <f ca="1">IFERROR(IF(0=LEN(ReferenceData!$H$119),"",ReferenceData!$H$119),"")</f>
        <v/>
      </c>
      <c r="I119" t="str">
        <f ca="1">IFERROR(IF(0=LEN(ReferenceData!$I$119),"",ReferenceData!$I$119),"")</f>
        <v/>
      </c>
      <c r="J119" t="str">
        <f ca="1">IFERROR(IF(0=LEN(ReferenceData!$J$119),"",ReferenceData!$J$119),"")</f>
        <v/>
      </c>
      <c r="K119" t="str">
        <f ca="1">IFERROR(IF(0=LEN(ReferenceData!$K$119),"",ReferenceData!$K$119),"")</f>
        <v/>
      </c>
      <c r="L119" t="str">
        <f ca="1">IFERROR(IF(0=LEN(ReferenceData!$L$119),"",ReferenceData!$L$119),"")</f>
        <v/>
      </c>
      <c r="M119" t="str">
        <f ca="1">IFERROR(IF(0=LEN(ReferenceData!$M$119),"",ReferenceData!$M$119),"")</f>
        <v/>
      </c>
      <c r="N119" t="str">
        <f ca="1">IFERROR(IF(0=LEN(ReferenceData!$N$119),"",ReferenceData!$N$119),"")</f>
        <v/>
      </c>
      <c r="O119" t="str">
        <f ca="1">IFERROR(IF(0=LEN(ReferenceData!$O$119),"",ReferenceData!$O$119),"")</f>
        <v/>
      </c>
      <c r="P119" t="str">
        <f ca="1">IFERROR(IF(0=LEN(ReferenceData!$P$119),"",ReferenceData!$P$119),"")</f>
        <v/>
      </c>
      <c r="Q119" t="str">
        <f ca="1">IFERROR(IF(0=LEN(ReferenceData!$Q$119),"",ReferenceData!$Q$119),"")</f>
        <v/>
      </c>
      <c r="R119" t="str">
        <f ca="1">IFERROR(IF(0=LEN(ReferenceData!$R$119),"",ReferenceData!$R$119),"")</f>
        <v/>
      </c>
      <c r="S119" t="str">
        <f ca="1">IFERROR(IF(0=LEN(ReferenceData!$S$119),"",ReferenceData!$S$119),"")</f>
        <v/>
      </c>
      <c r="T119" t="str">
        <f ca="1">IFERROR(IF(0=LEN(ReferenceData!$T$119),"",ReferenceData!$T$119),"")</f>
        <v/>
      </c>
      <c r="U119" t="str">
        <f ca="1">IFERROR(IF(0=LEN(ReferenceData!$U$119),"",ReferenceData!$U$119),"")</f>
        <v/>
      </c>
      <c r="V119" t="str">
        <f ca="1">IFERROR(IF(0=LEN(ReferenceData!$V$119),"",ReferenceData!$V$119),"")</f>
        <v/>
      </c>
      <c r="W119" t="str">
        <f ca="1">IFERROR(IF(0=LEN(ReferenceData!$W$119),"",ReferenceData!$W$119),"")</f>
        <v/>
      </c>
      <c r="X119" t="str">
        <f ca="1">IFERROR(IF(0=LEN(ReferenceData!$X$119),"",ReferenceData!$X$119),"")</f>
        <v/>
      </c>
      <c r="Y119" t="str">
        <f ca="1">IFERROR(IF(0=LEN(ReferenceData!$Y$119),"",ReferenceData!$Y$119),"")</f>
        <v/>
      </c>
      <c r="Z119" t="str">
        <f ca="1">IFERROR(IF(0=LEN(ReferenceData!$Z$119),"",ReferenceData!$Z$119),"")</f>
        <v/>
      </c>
      <c r="AA119" t="str">
        <f ca="1">IFERROR(IF(0=LEN(ReferenceData!$AA$119),"",ReferenceData!$AA$119),"")</f>
        <v/>
      </c>
      <c r="AB119" t="str">
        <f ca="1">IFERROR(IF(0=LEN(ReferenceData!$AB$119),"",ReferenceData!$AB$119),"")</f>
        <v/>
      </c>
      <c r="AC119" t="str">
        <f ca="1">IFERROR(IF(0=LEN(ReferenceData!$AC$119),"",ReferenceData!$AC$119),"")</f>
        <v/>
      </c>
      <c r="AD119" t="str">
        <f ca="1">IFERROR(IF(0=LEN(ReferenceData!$AD$119),"",ReferenceData!$AD$119),"")</f>
        <v/>
      </c>
      <c r="AE119" t="str">
        <f ca="1">IFERROR(IF(0=LEN(ReferenceData!$AE$119),"",ReferenceData!$AE$119),"")</f>
        <v/>
      </c>
      <c r="AF119" t="str">
        <f ca="1">IFERROR(IF(0=LEN(ReferenceData!$AF$119),"",ReferenceData!$AF$119),"")</f>
        <v/>
      </c>
      <c r="AG119" t="str">
        <f ca="1">IFERROR(IF(0=LEN(ReferenceData!$AG$119),"",ReferenceData!$AG$119),"")</f>
        <v/>
      </c>
      <c r="AH119" t="str">
        <f ca="1">IFERROR(IF(0=LEN(ReferenceData!$AH$119),"",ReferenceData!$AH$119),"")</f>
        <v/>
      </c>
      <c r="AI119" t="str">
        <f ca="1">IFERROR(IF(0=LEN(ReferenceData!$AI$119),"",ReferenceData!$AI$119),"")</f>
        <v/>
      </c>
      <c r="AJ119" t="str">
        <f ca="1">IFERROR(IF(0=LEN(ReferenceData!$AJ$119),"",ReferenceData!$AJ$119),"")</f>
        <v/>
      </c>
      <c r="AK119" t="str">
        <f ca="1">IFERROR(IF(0=LEN(ReferenceData!$AK$119),"",ReferenceData!$AK$119),"")</f>
        <v/>
      </c>
      <c r="AL119" t="str">
        <f ca="1">IFERROR(IF(0=LEN(ReferenceData!$AL$119),"",ReferenceData!$AL$119),"")</f>
        <v/>
      </c>
      <c r="AM119" t="str">
        <f ca="1">IFERROR(IF(0=LEN(ReferenceData!$AM$119),"",ReferenceData!$AM$119),"")</f>
        <v/>
      </c>
      <c r="AN119" t="str">
        <f ca="1">IFERROR(IF(0=LEN(ReferenceData!$AN$119),"",ReferenceData!$AN$119),"")</f>
        <v/>
      </c>
      <c r="AO119" t="str">
        <f ca="1">IFERROR(IF(0=LEN(ReferenceData!$AO$119),"",ReferenceData!$AO$119),"")</f>
        <v/>
      </c>
      <c r="AP119" t="str">
        <f ca="1">IFERROR(IF(0=LEN(ReferenceData!$AP$119),"",ReferenceData!$AP$119),"")</f>
        <v/>
      </c>
      <c r="AQ119" t="str">
        <f ca="1">IFERROR(IF(0=LEN(ReferenceData!$AQ$119),"",ReferenceData!$AQ$119),"")</f>
        <v/>
      </c>
      <c r="AR119" t="str">
        <f ca="1">IFERROR(IF(0=LEN(ReferenceData!$AR$119),"",ReferenceData!$AR$119),"")</f>
        <v/>
      </c>
      <c r="AS119" t="str">
        <f ca="1">IFERROR(IF(0=LEN(ReferenceData!$AS$119),"",ReferenceData!$AS$119),"")</f>
        <v/>
      </c>
      <c r="AT119" t="str">
        <f ca="1">IFERROR(IF(0=LEN(ReferenceData!$AT$119),"",ReferenceData!$AT$119),"")</f>
        <v/>
      </c>
      <c r="AU119" t="str">
        <f ca="1">IFERROR(IF(0=LEN(ReferenceData!$AU$119),"",ReferenceData!$AU$119),"")</f>
        <v/>
      </c>
      <c r="AV119" t="str">
        <f ca="1">IFERROR(IF(0=LEN(ReferenceData!$AV$119),"",ReferenceData!$AV$119),"")</f>
        <v/>
      </c>
      <c r="AW119" t="str">
        <f ca="1">IFERROR(IF(0=LEN(ReferenceData!$AW$119),"",ReferenceData!$AW$119),"")</f>
        <v/>
      </c>
      <c r="AX119" t="str">
        <f ca="1">IFERROR(IF(0=LEN(ReferenceData!$AX$119),"",ReferenceData!$AX$119),"")</f>
        <v/>
      </c>
      <c r="AY119" t="str">
        <f ca="1">IFERROR(IF(0=LEN(ReferenceData!$AY$119),"",ReferenceData!$AY$119),"")</f>
        <v/>
      </c>
      <c r="AZ119" t="str">
        <f ca="1">IFERROR(IF(0=LEN(ReferenceData!$AZ$119),"",ReferenceData!$AZ$119),"")</f>
        <v/>
      </c>
      <c r="BA119" t="str">
        <f ca="1">IFERROR(IF(0=LEN(ReferenceData!$BA$119),"",ReferenceData!$BA$119),"")</f>
        <v/>
      </c>
      <c r="BB119" t="str">
        <f ca="1">IFERROR(IF(0=LEN(ReferenceData!$BB$119),"",ReferenceData!$BB$119),"")</f>
        <v/>
      </c>
      <c r="BC119" t="str">
        <f ca="1">IFERROR(IF(0=LEN(ReferenceData!$BC$119),"",ReferenceData!$BC$119),"")</f>
        <v/>
      </c>
      <c r="BD119" t="str">
        <f ca="1">IFERROR(IF(0=LEN(ReferenceData!$BD$119),"",ReferenceData!$BD$119),"")</f>
        <v/>
      </c>
      <c r="BE119" t="str">
        <f ca="1">IFERROR(IF(0=LEN(ReferenceData!$BE$119),"",ReferenceData!$BE$119),"")</f>
        <v/>
      </c>
      <c r="BF119" t="str">
        <f ca="1">IFERROR(IF(0=LEN(ReferenceData!$BF$119),"",ReferenceData!$BF$119),"")</f>
        <v/>
      </c>
      <c r="BG119" t="str">
        <f ca="1">IFERROR(IF(0=LEN(ReferenceData!$BG$119),"",ReferenceData!$BG$119),"")</f>
        <v/>
      </c>
      <c r="BH119" t="str">
        <f ca="1">IFERROR(IF(0=LEN(ReferenceData!$BH$119),"",ReferenceData!$BH$119),"")</f>
        <v/>
      </c>
      <c r="BI119" t="str">
        <f ca="1">IFERROR(IF(0=LEN(ReferenceData!$BI$119),"",ReferenceData!$BI$119),"")</f>
        <v/>
      </c>
      <c r="BJ119" t="str">
        <f ca="1">IFERROR(IF(0=LEN(ReferenceData!$BJ$119),"",ReferenceData!$BJ$119),"")</f>
        <v/>
      </c>
      <c r="BK119" t="str">
        <f ca="1">IFERROR(IF(0=LEN(ReferenceData!$BK$119),"",ReferenceData!$BK$119),"")</f>
        <v/>
      </c>
      <c r="BL119" t="str">
        <f ca="1">IFERROR(IF(0=LEN(ReferenceData!$BL$119),"",ReferenceData!$BL$119),"")</f>
        <v/>
      </c>
      <c r="BM119" t="str">
        <f ca="1">IFERROR(IF(0=LEN(ReferenceData!$BM$119),"",ReferenceData!$BM$119),"")</f>
        <v/>
      </c>
    </row>
    <row r="120" spans="1:65">
      <c r="A120" t="str">
        <f>IFERROR(IF(0=LEN(ReferenceData!$A$120),"",ReferenceData!$A$120),"")</f>
        <v xml:space="preserve">    SVB Financial Group</v>
      </c>
      <c r="B120" t="str">
        <f>IFERROR(IF(0=LEN(ReferenceData!$B$120),"",ReferenceData!$B$120),"")</f>
        <v>SIVBQ US Equity</v>
      </c>
      <c r="C120" t="str">
        <f>IFERROR(IF(0=LEN(ReferenceData!$C$120),"",ReferenceData!$C$120),"")</f>
        <v>BS960</v>
      </c>
      <c r="D120" t="str">
        <f>IFERROR(IF(0=LEN(ReferenceData!$D$120),"",ReferenceData!$D$120),"")</f>
        <v>BS_RESIDENT_MTG_SERVICED_OTHERS</v>
      </c>
      <c r="E120" t="str">
        <f>IFERROR(IF(0=LEN(ReferenceData!$E$120),"",ReferenceData!$E$120),"")</f>
        <v>Dynamic</v>
      </c>
      <c r="F120" t="str">
        <f ca="1">IFERROR(IF(0=LEN(ReferenceData!$F$120),"",ReferenceData!$F$120),"")</f>
        <v/>
      </c>
      <c r="G120" t="str">
        <f ca="1">IFERROR(IF(0=LEN(ReferenceData!$G$120),"",ReferenceData!$G$120),"")</f>
        <v/>
      </c>
      <c r="H120" t="str">
        <f ca="1">IFERROR(IF(0=LEN(ReferenceData!$H$120),"",ReferenceData!$H$120),"")</f>
        <v/>
      </c>
      <c r="I120" t="str">
        <f ca="1">IFERROR(IF(0=LEN(ReferenceData!$I$120),"",ReferenceData!$I$120),"")</f>
        <v/>
      </c>
      <c r="J120" t="str">
        <f ca="1">IFERROR(IF(0=LEN(ReferenceData!$J$120),"",ReferenceData!$J$120),"")</f>
        <v/>
      </c>
      <c r="K120" t="str">
        <f ca="1">IFERROR(IF(0=LEN(ReferenceData!$K$120),"",ReferenceData!$K$120),"")</f>
        <v/>
      </c>
      <c r="L120" t="str">
        <f ca="1">IFERROR(IF(0=LEN(ReferenceData!$L$120),"",ReferenceData!$L$120),"")</f>
        <v/>
      </c>
      <c r="M120" t="str">
        <f ca="1">IFERROR(IF(0=LEN(ReferenceData!$M$120),"",ReferenceData!$M$120),"")</f>
        <v/>
      </c>
      <c r="N120" t="str">
        <f ca="1">IFERROR(IF(0=LEN(ReferenceData!$N$120),"",ReferenceData!$N$120),"")</f>
        <v/>
      </c>
      <c r="O120" t="str">
        <f ca="1">IFERROR(IF(0=LEN(ReferenceData!$O$120),"",ReferenceData!$O$120),"")</f>
        <v/>
      </c>
      <c r="P120" t="str">
        <f ca="1">IFERROR(IF(0=LEN(ReferenceData!$P$120),"",ReferenceData!$P$120),"")</f>
        <v/>
      </c>
      <c r="Q120" t="str">
        <f ca="1">IFERROR(IF(0=LEN(ReferenceData!$Q$120),"",ReferenceData!$Q$120),"")</f>
        <v/>
      </c>
      <c r="R120" t="str">
        <f ca="1">IFERROR(IF(0=LEN(ReferenceData!$R$120),"",ReferenceData!$R$120),"")</f>
        <v/>
      </c>
      <c r="S120" t="str">
        <f ca="1">IFERROR(IF(0=LEN(ReferenceData!$S$120),"",ReferenceData!$S$120),"")</f>
        <v/>
      </c>
      <c r="T120" t="str">
        <f ca="1">IFERROR(IF(0=LEN(ReferenceData!$T$120),"",ReferenceData!$T$120),"")</f>
        <v/>
      </c>
      <c r="U120" t="str">
        <f ca="1">IFERROR(IF(0=LEN(ReferenceData!$U$120),"",ReferenceData!$U$120),"")</f>
        <v/>
      </c>
      <c r="V120" t="str">
        <f ca="1">IFERROR(IF(0=LEN(ReferenceData!$V$120),"",ReferenceData!$V$120),"")</f>
        <v/>
      </c>
      <c r="W120" t="str">
        <f ca="1">IFERROR(IF(0=LEN(ReferenceData!$W$120),"",ReferenceData!$W$120),"")</f>
        <v/>
      </c>
      <c r="X120" t="str">
        <f ca="1">IFERROR(IF(0=LEN(ReferenceData!$X$120),"",ReferenceData!$X$120),"")</f>
        <v/>
      </c>
      <c r="Y120" t="str">
        <f ca="1">IFERROR(IF(0=LEN(ReferenceData!$Y$120),"",ReferenceData!$Y$120),"")</f>
        <v/>
      </c>
      <c r="Z120" t="str">
        <f ca="1">IFERROR(IF(0=LEN(ReferenceData!$Z$120),"",ReferenceData!$Z$120),"")</f>
        <v/>
      </c>
      <c r="AA120" t="str">
        <f ca="1">IFERROR(IF(0=LEN(ReferenceData!$AA$120),"",ReferenceData!$AA$120),"")</f>
        <v/>
      </c>
      <c r="AB120" t="str">
        <f ca="1">IFERROR(IF(0=LEN(ReferenceData!$AB$120),"",ReferenceData!$AB$120),"")</f>
        <v/>
      </c>
      <c r="AC120" t="str">
        <f ca="1">IFERROR(IF(0=LEN(ReferenceData!$AC$120),"",ReferenceData!$AC$120),"")</f>
        <v/>
      </c>
      <c r="AD120" t="str">
        <f ca="1">IFERROR(IF(0=LEN(ReferenceData!$AD$120),"",ReferenceData!$AD$120),"")</f>
        <v/>
      </c>
      <c r="AE120" t="str">
        <f ca="1">IFERROR(IF(0=LEN(ReferenceData!$AE$120),"",ReferenceData!$AE$120),"")</f>
        <v/>
      </c>
      <c r="AF120" t="str">
        <f ca="1">IFERROR(IF(0=LEN(ReferenceData!$AF$120),"",ReferenceData!$AF$120),"")</f>
        <v/>
      </c>
      <c r="AG120" t="str">
        <f ca="1">IFERROR(IF(0=LEN(ReferenceData!$AG$120),"",ReferenceData!$AG$120),"")</f>
        <v/>
      </c>
      <c r="AH120" t="str">
        <f ca="1">IFERROR(IF(0=LEN(ReferenceData!$AH$120),"",ReferenceData!$AH$120),"")</f>
        <v/>
      </c>
      <c r="AI120" t="str">
        <f ca="1">IFERROR(IF(0=LEN(ReferenceData!$AI$120),"",ReferenceData!$AI$120),"")</f>
        <v/>
      </c>
      <c r="AJ120" t="str">
        <f ca="1">IFERROR(IF(0=LEN(ReferenceData!$AJ$120),"",ReferenceData!$AJ$120),"")</f>
        <v/>
      </c>
      <c r="AK120" t="str">
        <f ca="1">IFERROR(IF(0=LEN(ReferenceData!$AK$120),"",ReferenceData!$AK$120),"")</f>
        <v/>
      </c>
      <c r="AL120" t="str">
        <f ca="1">IFERROR(IF(0=LEN(ReferenceData!$AL$120),"",ReferenceData!$AL$120),"")</f>
        <v/>
      </c>
      <c r="AM120" t="str">
        <f ca="1">IFERROR(IF(0=LEN(ReferenceData!$AM$120),"",ReferenceData!$AM$120),"")</f>
        <v/>
      </c>
      <c r="AN120" t="str">
        <f ca="1">IFERROR(IF(0=LEN(ReferenceData!$AN$120),"",ReferenceData!$AN$120),"")</f>
        <v/>
      </c>
      <c r="AO120" t="str">
        <f ca="1">IFERROR(IF(0=LEN(ReferenceData!$AO$120),"",ReferenceData!$AO$120),"")</f>
        <v/>
      </c>
      <c r="AP120" t="str">
        <f ca="1">IFERROR(IF(0=LEN(ReferenceData!$AP$120),"",ReferenceData!$AP$120),"")</f>
        <v/>
      </c>
      <c r="AQ120" t="str">
        <f ca="1">IFERROR(IF(0=LEN(ReferenceData!$AQ$120),"",ReferenceData!$AQ$120),"")</f>
        <v/>
      </c>
      <c r="AR120" t="str">
        <f ca="1">IFERROR(IF(0=LEN(ReferenceData!$AR$120),"",ReferenceData!$AR$120),"")</f>
        <v/>
      </c>
      <c r="AS120" t="str">
        <f ca="1">IFERROR(IF(0=LEN(ReferenceData!$AS$120),"",ReferenceData!$AS$120),"")</f>
        <v/>
      </c>
      <c r="AT120" t="str">
        <f ca="1">IFERROR(IF(0=LEN(ReferenceData!$AT$120),"",ReferenceData!$AT$120),"")</f>
        <v/>
      </c>
      <c r="AU120" t="str">
        <f ca="1">IFERROR(IF(0=LEN(ReferenceData!$AU$120),"",ReferenceData!$AU$120),"")</f>
        <v/>
      </c>
      <c r="AV120" t="str">
        <f ca="1">IFERROR(IF(0=LEN(ReferenceData!$AV$120),"",ReferenceData!$AV$120),"")</f>
        <v/>
      </c>
      <c r="AW120" t="str">
        <f ca="1">IFERROR(IF(0=LEN(ReferenceData!$AW$120),"",ReferenceData!$AW$120),"")</f>
        <v/>
      </c>
      <c r="AX120" t="str">
        <f ca="1">IFERROR(IF(0=LEN(ReferenceData!$AX$120),"",ReferenceData!$AX$120),"")</f>
        <v/>
      </c>
      <c r="AY120" t="str">
        <f ca="1">IFERROR(IF(0=LEN(ReferenceData!$AY$120),"",ReferenceData!$AY$120),"")</f>
        <v/>
      </c>
      <c r="AZ120" t="str">
        <f ca="1">IFERROR(IF(0=LEN(ReferenceData!$AZ$120),"",ReferenceData!$AZ$120),"")</f>
        <v/>
      </c>
      <c r="BA120" t="str">
        <f ca="1">IFERROR(IF(0=LEN(ReferenceData!$BA$120),"",ReferenceData!$BA$120),"")</f>
        <v/>
      </c>
      <c r="BB120" t="str">
        <f ca="1">IFERROR(IF(0=LEN(ReferenceData!$BB$120),"",ReferenceData!$BB$120),"")</f>
        <v/>
      </c>
      <c r="BC120" t="str">
        <f ca="1">IFERROR(IF(0=LEN(ReferenceData!$BC$120),"",ReferenceData!$BC$120),"")</f>
        <v/>
      </c>
      <c r="BD120" t="str">
        <f ca="1">IFERROR(IF(0=LEN(ReferenceData!$BD$120),"",ReferenceData!$BD$120),"")</f>
        <v/>
      </c>
      <c r="BE120" t="str">
        <f ca="1">IFERROR(IF(0=LEN(ReferenceData!$BE$120),"",ReferenceData!$BE$120),"")</f>
        <v/>
      </c>
      <c r="BF120" t="str">
        <f ca="1">IFERROR(IF(0=LEN(ReferenceData!$BF$120),"",ReferenceData!$BF$120),"")</f>
        <v/>
      </c>
      <c r="BG120" t="str">
        <f ca="1">IFERROR(IF(0=LEN(ReferenceData!$BG$120),"",ReferenceData!$BG$120),"")</f>
        <v/>
      </c>
      <c r="BH120" t="str">
        <f ca="1">IFERROR(IF(0=LEN(ReferenceData!$BH$120),"",ReferenceData!$BH$120),"")</f>
        <v/>
      </c>
      <c r="BI120" t="str">
        <f ca="1">IFERROR(IF(0=LEN(ReferenceData!$BI$120),"",ReferenceData!$BI$120),"")</f>
        <v/>
      </c>
      <c r="BJ120" t="str">
        <f ca="1">IFERROR(IF(0=LEN(ReferenceData!$BJ$120),"",ReferenceData!$BJ$120),"")</f>
        <v/>
      </c>
      <c r="BK120" t="str">
        <f ca="1">IFERROR(IF(0=LEN(ReferenceData!$BK$120),"",ReferenceData!$BK$120),"")</f>
        <v/>
      </c>
      <c r="BL120" t="str">
        <f ca="1">IFERROR(IF(0=LEN(ReferenceData!$BL$120),"",ReferenceData!$BL$120),"")</f>
        <v/>
      </c>
      <c r="BM120" t="str">
        <f ca="1">IFERROR(IF(0=LEN(ReferenceData!$BM$120),"",ReferenceData!$BM$120),"")</f>
        <v/>
      </c>
    </row>
    <row r="121" spans="1:65">
      <c r="A121" t="str">
        <f>IFERROR(IF(0=LEN(ReferenceData!$A$121),"",ReferenceData!$A$121),"")</f>
        <v xml:space="preserve">    Truist Financial Corp</v>
      </c>
      <c r="B121" t="str">
        <f>IFERROR(IF(0=LEN(ReferenceData!$B$121),"",ReferenceData!$B$121),"")</f>
        <v>TFC US Equity</v>
      </c>
      <c r="C121" t="str">
        <f>IFERROR(IF(0=LEN(ReferenceData!$C$121),"",ReferenceData!$C$121),"")</f>
        <v>BS960</v>
      </c>
      <c r="D121" t="str">
        <f>IFERROR(IF(0=LEN(ReferenceData!$D$121),"",ReferenceData!$D$121),"")</f>
        <v>BS_RESIDENT_MTG_SERVICED_OTHERS</v>
      </c>
      <c r="E121" t="str">
        <f>IFERROR(IF(0=LEN(ReferenceData!$E$121),"",ReferenceData!$E$121),"")</f>
        <v>Dynamic</v>
      </c>
      <c r="F121">
        <f ca="1">IFERROR(IF(0=LEN(ReferenceData!$F$121),"",ReferenceData!$F$121),"")</f>
        <v>218475</v>
      </c>
      <c r="G121">
        <f ca="1">IFERROR(IF(0=LEN(ReferenceData!$G$121),"",ReferenceData!$G$121),"")</f>
        <v>221143</v>
      </c>
      <c r="H121">
        <f ca="1">IFERROR(IF(0=LEN(ReferenceData!$H$121),"",ReferenceData!$H$121),"")</f>
        <v>208270</v>
      </c>
      <c r="I121">
        <f ca="1">IFERROR(IF(0=LEN(ReferenceData!$I$121),"",ReferenceData!$I$121),"")</f>
        <v>210635</v>
      </c>
      <c r="J121">
        <f ca="1">IFERROR(IF(0=LEN(ReferenceData!$J$121),"",ReferenceData!$J$121),"")</f>
        <v>213399</v>
      </c>
      <c r="K121">
        <f ca="1">IFERROR(IF(0=LEN(ReferenceData!$K$121),"",ReferenceData!$K$121),"")</f>
        <v>214953</v>
      </c>
      <c r="L121">
        <f ca="1">IFERROR(IF(0=LEN(ReferenceData!$L$121),"",ReferenceData!$L$121),"")</f>
        <v>222917</v>
      </c>
      <c r="M121">
        <f ca="1">IFERROR(IF(0=LEN(ReferenceData!$M$121),"",ReferenceData!$M$121),"")</f>
        <v>214830</v>
      </c>
      <c r="N121">
        <f ca="1">IFERROR(IF(0=LEN(ReferenceData!$N$121),"",ReferenceData!$N$121),"")</f>
        <v>217046</v>
      </c>
      <c r="O121">
        <f ca="1">IFERROR(IF(0=LEN(ReferenceData!$O$121),"",ReferenceData!$O$121),"")</f>
        <v>218740</v>
      </c>
      <c r="P121">
        <f ca="1">IFERROR(IF(0=LEN(ReferenceData!$P$121),"",ReferenceData!$P$121),"")</f>
        <v>209504</v>
      </c>
      <c r="Q121">
        <f ca="1">IFERROR(IF(0=LEN(ReferenceData!$Q$121),"",ReferenceData!$Q$121),"")</f>
        <v>195737</v>
      </c>
      <c r="R121">
        <f ca="1">IFERROR(IF(0=LEN(ReferenceData!$R$121),"",ReferenceData!$R$121),"")</f>
        <v>196011</v>
      </c>
      <c r="S121">
        <f ca="1">IFERROR(IF(0=LEN(ReferenceData!$S$121),"",ReferenceData!$S$121),"")</f>
        <v>198119</v>
      </c>
      <c r="T121">
        <f ca="1">IFERROR(IF(0=LEN(ReferenceData!$T$121),"",ReferenceData!$T$121),"")</f>
        <v>178004</v>
      </c>
      <c r="U121">
        <f ca="1">IFERROR(IF(0=LEN(ReferenceData!$U$121),"",ReferenceData!$U$121),"")</f>
        <v>179836</v>
      </c>
      <c r="V121">
        <f ca="1">IFERROR(IF(0=LEN(ReferenceData!$V$121),"",ReferenceData!$V$121),"")</f>
        <v>188341</v>
      </c>
      <c r="W121">
        <f ca="1">IFERROR(IF(0=LEN(ReferenceData!$W$121),"",ReferenceData!$W$121),"")</f>
        <v>198881</v>
      </c>
      <c r="X121">
        <f ca="1">IFERROR(IF(0=LEN(ReferenceData!$X$121),"",ReferenceData!$X$121),"")</f>
        <v>209070</v>
      </c>
      <c r="Y121">
        <f ca="1">IFERROR(IF(0=LEN(ReferenceData!$Y$121),"",ReferenceData!$Y$121),"")</f>
        <v>219979</v>
      </c>
      <c r="Z121">
        <f ca="1">IFERROR(IF(0=LEN(ReferenceData!$Z$121),"",ReferenceData!$Z$121),"")</f>
        <v>219347</v>
      </c>
      <c r="AA121">
        <f ca="1">IFERROR(IF(0=LEN(ReferenceData!$AA$121),"",ReferenceData!$AA$121),"")</f>
        <v>87147</v>
      </c>
      <c r="AB121">
        <f ca="1">IFERROR(IF(0=LEN(ReferenceData!$AB$121),"",ReferenceData!$AB$121),"")</f>
        <v>85060</v>
      </c>
      <c r="AC121">
        <f ca="1">IFERROR(IF(0=LEN(ReferenceData!$AC$121),"",ReferenceData!$AC$121),"")</f>
        <v>86119</v>
      </c>
      <c r="AD121">
        <f ca="1">IFERROR(IF(0=LEN(ReferenceData!$AD$121),"",ReferenceData!$AD$121),"")</f>
        <v>87270</v>
      </c>
      <c r="AE121">
        <f ca="1">IFERROR(IF(0=LEN(ReferenceData!$AE$121),"",ReferenceData!$AE$121),"")</f>
        <v>88323</v>
      </c>
      <c r="AF121">
        <f ca="1">IFERROR(IF(0=LEN(ReferenceData!$AF$121),"",ReferenceData!$AF$121),"")</f>
        <v>88492</v>
      </c>
      <c r="AG121">
        <f ca="1">IFERROR(IF(0=LEN(ReferenceData!$AG$121),"",ReferenceData!$AG$121),"")</f>
        <v>88746</v>
      </c>
      <c r="AH121">
        <f ca="1">IFERROR(IF(0=LEN(ReferenceData!$AH$121),"",ReferenceData!$AH$121),"")</f>
        <v>89124</v>
      </c>
      <c r="AI121">
        <f ca="1">IFERROR(IF(0=LEN(ReferenceData!$AI$121),"",ReferenceData!$AI$121),"")</f>
        <v>89391</v>
      </c>
      <c r="AJ121">
        <f ca="1">IFERROR(IF(0=LEN(ReferenceData!$AJ$121),"",ReferenceData!$AJ$121),"")</f>
        <v>90106</v>
      </c>
      <c r="AK121">
        <f ca="1">IFERROR(IF(0=LEN(ReferenceData!$AK$121),"",ReferenceData!$AK$121),"")</f>
        <v>90855</v>
      </c>
      <c r="AL121">
        <f ca="1">IFERROR(IF(0=LEN(ReferenceData!$AL$121),"",ReferenceData!$AL$121),"")</f>
        <v>90325</v>
      </c>
      <c r="AM121">
        <f ca="1">IFERROR(IF(0=LEN(ReferenceData!$AM$121),"",ReferenceData!$AM$121),"")</f>
        <v>90157</v>
      </c>
      <c r="AN121">
        <f ca="1">IFERROR(IF(0=LEN(ReferenceData!$AN$121),"",ReferenceData!$AN$121),"")</f>
        <v>89970</v>
      </c>
      <c r="AO121">
        <f ca="1">IFERROR(IF(0=LEN(ReferenceData!$AO$121),"",ReferenceData!$AO$121),"")</f>
        <v>90541</v>
      </c>
      <c r="AP121">
        <f ca="1">IFERROR(IF(0=LEN(ReferenceData!$AP$121),"",ReferenceData!$AP$121),"")</f>
        <v>91132</v>
      </c>
      <c r="AQ121">
        <f ca="1">IFERROR(IF(0=LEN(ReferenceData!$AQ$121),"",ReferenceData!$AQ$121),"")</f>
        <v>90446</v>
      </c>
      <c r="AR121">
        <f ca="1">IFERROR(IF(0=LEN(ReferenceData!$AR$121),"",ReferenceData!$AR$121),"")</f>
        <v>89235</v>
      </c>
      <c r="AS121">
        <f ca="1">IFERROR(IF(0=LEN(ReferenceData!$AS$121),"",ReferenceData!$AS$121),"")</f>
        <v>89192</v>
      </c>
      <c r="AT121">
        <f ca="1">IFERROR(IF(0=LEN(ReferenceData!$AT$121),"",ReferenceData!$AT$121),"")</f>
        <v>90230</v>
      </c>
      <c r="AU121">
        <f ca="1">IFERROR(IF(0=LEN(ReferenceData!$AU$121),"",ReferenceData!$AU$121),"")</f>
        <v>89936</v>
      </c>
      <c r="AV121">
        <f ca="1">IFERROR(IF(0=LEN(ReferenceData!$AV$121),"",ReferenceData!$AV$121),"")</f>
        <v>88595</v>
      </c>
      <c r="AW121">
        <f ca="1">IFERROR(IF(0=LEN(ReferenceData!$AW$121),"",ReferenceData!$AW$121),"")</f>
        <v>88239</v>
      </c>
      <c r="AX121">
        <f ca="1">IFERROR(IF(0=LEN(ReferenceData!$AX$121),"",ReferenceData!$AX$121),"")</f>
        <v>87434</v>
      </c>
      <c r="AY121">
        <f ca="1">IFERROR(IF(0=LEN(ReferenceData!$AY$121),"",ReferenceData!$AY$121),"")</f>
        <v>84025</v>
      </c>
      <c r="AZ121">
        <f ca="1">IFERROR(IF(0=LEN(ReferenceData!$AZ$121),"",ReferenceData!$AZ$121),"")</f>
        <v>80846</v>
      </c>
      <c r="BA121">
        <f ca="1">IFERROR(IF(0=LEN(ReferenceData!$BA$121),"",ReferenceData!$BA$121),"")</f>
        <v>76830</v>
      </c>
      <c r="BB121">
        <f ca="1">IFERROR(IF(0=LEN(ReferenceData!$BB$121),"",ReferenceData!$BB$121),"")</f>
        <v>73769</v>
      </c>
      <c r="BC121">
        <f ca="1">IFERROR(IF(0=LEN(ReferenceData!$BC$121),"",ReferenceData!$BC$121),"")</f>
        <v>72343</v>
      </c>
      <c r="BD121">
        <f ca="1">IFERROR(IF(0=LEN(ReferenceData!$BD$121),"",ReferenceData!$BD$121),"")</f>
        <v>71389</v>
      </c>
      <c r="BE121">
        <f ca="1">IFERROR(IF(0=LEN(ReferenceData!$BE$121),"",ReferenceData!$BE$121),"")</f>
        <v>70318</v>
      </c>
      <c r="BF121">
        <f ca="1">IFERROR(IF(0=LEN(ReferenceData!$BF$121),"",ReferenceData!$BF$121),"")</f>
        <v>67066</v>
      </c>
      <c r="BG121">
        <f ca="1">IFERROR(IF(0=LEN(ReferenceData!$BG$121),"",ReferenceData!$BG$121),"")</f>
        <v>66305</v>
      </c>
      <c r="BH121">
        <f ca="1">IFERROR(IF(0=LEN(ReferenceData!$BH$121),"",ReferenceData!$BH$121),"")</f>
        <v>65872</v>
      </c>
      <c r="BI121">
        <f ca="1">IFERROR(IF(0=LEN(ReferenceData!$BI$121),"",ReferenceData!$BI$121),"")</f>
        <v>64894</v>
      </c>
      <c r="BJ121">
        <f ca="1">IFERROR(IF(0=LEN(ReferenceData!$BJ$121),"",ReferenceData!$BJ$121),"")</f>
        <v>61795</v>
      </c>
      <c r="BK121">
        <f ca="1">IFERROR(IF(0=LEN(ReferenceData!$BK$121),"",ReferenceData!$BK$121),"")</f>
        <v>60207</v>
      </c>
      <c r="BL121">
        <f ca="1">IFERROR(IF(0=LEN(ReferenceData!$BL$121),"",ReferenceData!$BL$121),"")</f>
        <v>59322</v>
      </c>
      <c r="BM121" t="str">
        <f ca="1">IFERROR(IF(0=LEN(ReferenceData!$BM$121),"",ReferenceData!$BM$121),"")</f>
        <v/>
      </c>
    </row>
    <row r="122" spans="1:65">
      <c r="A122" t="str">
        <f>IFERROR(IF(0=LEN(ReferenceData!$A$122),"",ReferenceData!$A$122),"")</f>
        <v xml:space="preserve">    US Bancorp</v>
      </c>
      <c r="B122" t="str">
        <f>IFERROR(IF(0=LEN(ReferenceData!$B$122),"",ReferenceData!$B$122),"")</f>
        <v>USB US Equity</v>
      </c>
      <c r="C122" t="str">
        <f>IFERROR(IF(0=LEN(ReferenceData!$C$122),"",ReferenceData!$C$122),"")</f>
        <v>BS960</v>
      </c>
      <c r="D122" t="str">
        <f>IFERROR(IF(0=LEN(ReferenceData!$D$122),"",ReferenceData!$D$122),"")</f>
        <v>BS_RESIDENT_MTG_SERVICED_OTHERS</v>
      </c>
      <c r="E122" t="str">
        <f>IFERROR(IF(0=LEN(ReferenceData!$E$122),"",ReferenceData!$E$122),"")</f>
        <v>Dynamic</v>
      </c>
      <c r="F122">
        <f ca="1">IFERROR(IF(0=LEN(ReferenceData!$F$122),"",ReferenceData!$F$122),"")</f>
        <v>216648</v>
      </c>
      <c r="G122">
        <f ca="1">IFERROR(IF(0=LEN(ReferenceData!$G$122),"",ReferenceData!$G$122),"")</f>
        <v>215286</v>
      </c>
      <c r="H122">
        <f ca="1">IFERROR(IF(0=LEN(ReferenceData!$H$122),"",ReferenceData!$H$122),"")</f>
        <v>225780</v>
      </c>
      <c r="I122">
        <f ca="1">IFERROR(IF(0=LEN(ReferenceData!$I$122),"",ReferenceData!$I$122),"")</f>
        <v>232907</v>
      </c>
      <c r="J122">
        <f ca="1">IFERROR(IF(0=LEN(ReferenceData!$J$122),"",ReferenceData!$J$122),"")</f>
        <v>233382</v>
      </c>
      <c r="K122">
        <f ca="1">IFERROR(IF(0=LEN(ReferenceData!$K$122),"",ReferenceData!$K$122),"")</f>
        <v>232263</v>
      </c>
      <c r="L122">
        <f ca="1">IFERROR(IF(0=LEN(ReferenceData!$L$122),"",ReferenceData!$L$122),"")</f>
        <v>251572</v>
      </c>
      <c r="M122">
        <f ca="1">IFERROR(IF(0=LEN(ReferenceData!$M$122),"",ReferenceData!$M$122),"")</f>
        <v>245617</v>
      </c>
      <c r="N122">
        <f ca="1">IFERROR(IF(0=LEN(ReferenceData!$N$122),"",ReferenceData!$N$122),"")</f>
        <v>243626</v>
      </c>
      <c r="O122">
        <f ca="1">IFERROR(IF(0=LEN(ReferenceData!$O$122),"",ReferenceData!$O$122),"")</f>
        <v>228992</v>
      </c>
      <c r="P122">
        <f ca="1">IFERROR(IF(0=LEN(ReferenceData!$P$122),"",ReferenceData!$P$122),"")</f>
        <v>226372</v>
      </c>
      <c r="Q122">
        <f ca="1">IFERROR(IF(0=LEN(ReferenceData!$Q$122),"",ReferenceData!$Q$122),"")</f>
        <v>227179</v>
      </c>
      <c r="R122">
        <f ca="1">IFERROR(IF(0=LEN(ReferenceData!$R$122),"",ReferenceData!$R$122),"")</f>
        <v>218953</v>
      </c>
      <c r="S122">
        <f ca="1">IFERROR(IF(0=LEN(ReferenceData!$S$122),"",ReferenceData!$S$122),"")</f>
        <v>215973</v>
      </c>
      <c r="T122">
        <f ca="1">IFERROR(IF(0=LEN(ReferenceData!$T$122),"",ReferenceData!$T$122),"")</f>
        <v>215030</v>
      </c>
      <c r="U122">
        <f ca="1">IFERROR(IF(0=LEN(ReferenceData!$U$122),"",ReferenceData!$U$122),"")</f>
        <v>208662</v>
      </c>
      <c r="V122">
        <f ca="1">IFERROR(IF(0=LEN(ReferenceData!$V$122),"",ReferenceData!$V$122),"")</f>
        <v>208955</v>
      </c>
      <c r="W122">
        <f ca="1">IFERROR(IF(0=LEN(ReferenceData!$W$122),"",ReferenceData!$W$122),"")</f>
        <v>211798</v>
      </c>
      <c r="X122">
        <f ca="1">IFERROR(IF(0=LEN(ReferenceData!$X$122),"",ReferenceData!$X$122),"")</f>
        <v>217650</v>
      </c>
      <c r="Y122">
        <f ca="1">IFERROR(IF(0=LEN(ReferenceData!$Y$122),"",ReferenceData!$Y$122),"")</f>
        <v>224120</v>
      </c>
      <c r="Z122">
        <f ca="1">IFERROR(IF(0=LEN(ReferenceData!$Z$122),"",ReferenceData!$Z$122),"")</f>
        <v>223518</v>
      </c>
      <c r="AA122">
        <f ca="1">IFERROR(IF(0=LEN(ReferenceData!$AA$122),"",ReferenceData!$AA$122),"")</f>
        <v>225399</v>
      </c>
      <c r="AB122">
        <f ca="1">IFERROR(IF(0=LEN(ReferenceData!$AB$122),"",ReferenceData!$AB$122),"")</f>
        <v>226969</v>
      </c>
      <c r="AC122">
        <f ca="1">IFERROR(IF(0=LEN(ReferenceData!$AC$122),"",ReferenceData!$AC$122),"")</f>
        <v>230521</v>
      </c>
      <c r="AD122">
        <f ca="1">IFERROR(IF(0=LEN(ReferenceData!$AD$122),"",ReferenceData!$AD$122),"")</f>
        <v>229284</v>
      </c>
      <c r="AE122">
        <f ca="1">IFERROR(IF(0=LEN(ReferenceData!$AE$122),"",ReferenceData!$AE$122),"")</f>
        <v>230543</v>
      </c>
      <c r="AF122">
        <f ca="1">IFERROR(IF(0=LEN(ReferenceData!$AF$122),"",ReferenceData!$AF$122),"")</f>
        <v>232746</v>
      </c>
      <c r="AG122">
        <f ca="1">IFERROR(IF(0=LEN(ReferenceData!$AG$122),"",ReferenceData!$AG$122),"")</f>
        <v>233052</v>
      </c>
      <c r="AH122">
        <f ca="1">IFERROR(IF(0=LEN(ReferenceData!$AH$122),"",ReferenceData!$AH$122),"")</f>
        <v>232846</v>
      </c>
      <c r="AI122">
        <f ca="1">IFERROR(IF(0=LEN(ReferenceData!$AI$122),"",ReferenceData!$AI$122),"")</f>
        <v>231315</v>
      </c>
      <c r="AJ122">
        <f ca="1">IFERROR(IF(0=LEN(ReferenceData!$AJ$122),"",ReferenceData!$AJ$122),"")</f>
        <v>230690</v>
      </c>
      <c r="AK122">
        <f ca="1">IFERROR(IF(0=LEN(ReferenceData!$AK$122),"",ReferenceData!$AK$122),"")</f>
        <v>231885</v>
      </c>
      <c r="AL122">
        <f ca="1">IFERROR(IF(0=LEN(ReferenceData!$AL$122),"",ReferenceData!$AL$122),"")</f>
        <v>230047</v>
      </c>
      <c r="AM122">
        <f ca="1">IFERROR(IF(0=LEN(ReferenceData!$AM$122),"",ReferenceData!$AM$122),"")</f>
        <v>229647</v>
      </c>
      <c r="AN122">
        <f ca="1">IFERROR(IF(0=LEN(ReferenceData!$AN$122),"",ReferenceData!$AN$122),"")</f>
        <v>229449</v>
      </c>
      <c r="AO122">
        <f ca="1">IFERROR(IF(0=LEN(ReferenceData!$AO$122),"",ReferenceData!$AO$122),"")</f>
        <v>229748</v>
      </c>
      <c r="AP122">
        <f ca="1">IFERROR(IF(0=LEN(ReferenceData!$AP$122),"",ReferenceData!$AP$122),"")</f>
        <v>229375</v>
      </c>
      <c r="AQ122">
        <f ca="1">IFERROR(IF(0=LEN(ReferenceData!$AQ$122),"",ReferenceData!$AQ$122),"")</f>
        <v>226935</v>
      </c>
      <c r="AR122">
        <f ca="1">IFERROR(IF(0=LEN(ReferenceData!$AR$122),"",ReferenceData!$AR$122),"")</f>
        <v>223175</v>
      </c>
      <c r="AS122">
        <f ca="1">IFERROR(IF(0=LEN(ReferenceData!$AS$122),"",ReferenceData!$AS$122),"")</f>
        <v>222965</v>
      </c>
      <c r="AT122">
        <f ca="1">IFERROR(IF(0=LEN(ReferenceData!$AT$122),"",ReferenceData!$AT$122),"")</f>
        <v>222797</v>
      </c>
      <c r="AU122">
        <f ca="1">IFERROR(IF(0=LEN(ReferenceData!$AU$122),"",ReferenceData!$AU$122),"")</f>
        <v>222409</v>
      </c>
      <c r="AV122">
        <f ca="1">IFERROR(IF(0=LEN(ReferenceData!$AV$122),"",ReferenceData!$AV$122),"")</f>
        <v>222497</v>
      </c>
      <c r="AW122">
        <f ca="1">IFERROR(IF(0=LEN(ReferenceData!$AW$122),"",ReferenceData!$AW$122),"")</f>
        <v>224637</v>
      </c>
      <c r="AX122">
        <f ca="1">IFERROR(IF(0=LEN(ReferenceData!$AX$122),"",ReferenceData!$AX$122),"")</f>
        <v>226842</v>
      </c>
      <c r="AY122">
        <f ca="1">IFERROR(IF(0=LEN(ReferenceData!$AY$122),"",ReferenceData!$AY$122),"")</f>
        <v>226727</v>
      </c>
      <c r="AZ122">
        <f ca="1">IFERROR(IF(0=LEN(ReferenceData!$AZ$122),"",ReferenceData!$AZ$122),"")</f>
        <v>223904</v>
      </c>
      <c r="BA122">
        <f ca="1">IFERROR(IF(0=LEN(ReferenceData!$BA$122),"",ReferenceData!$BA$122),"")</f>
        <v>220321</v>
      </c>
      <c r="BB122">
        <f ca="1">IFERROR(IF(0=LEN(ReferenceData!$BB$122),"",ReferenceData!$BB$122),"")</f>
        <v>215637</v>
      </c>
      <c r="BC122">
        <f ca="1">IFERROR(IF(0=LEN(ReferenceData!$BC$122),"",ReferenceData!$BC$122),"")</f>
        <v>211263</v>
      </c>
      <c r="BD122">
        <f ca="1">IFERROR(IF(0=LEN(ReferenceData!$BD$122),"",ReferenceData!$BD$122),"")</f>
        <v>207427</v>
      </c>
      <c r="BE122">
        <f ca="1">IFERROR(IF(0=LEN(ReferenceData!$BE$122),"",ReferenceData!$BE$122),"")</f>
        <v>200171</v>
      </c>
      <c r="BF122">
        <f ca="1">IFERROR(IF(0=LEN(ReferenceData!$BF$122),"",ReferenceData!$BF$122),"")</f>
        <v>191082</v>
      </c>
      <c r="BG122">
        <f ca="1">IFERROR(IF(0=LEN(ReferenceData!$BG$122),"",ReferenceData!$BG$122),"")</f>
        <v>185555</v>
      </c>
      <c r="BH122">
        <f ca="1">IFERROR(IF(0=LEN(ReferenceData!$BH$122),"",ReferenceData!$BH$122),"")</f>
        <v>184858</v>
      </c>
      <c r="BI122">
        <f ca="1">IFERROR(IF(0=LEN(ReferenceData!$BI$122),"",ReferenceData!$BI$122),"")</f>
        <v>182665</v>
      </c>
      <c r="BJ122">
        <f ca="1">IFERROR(IF(0=LEN(ReferenceData!$BJ$122),"",ReferenceData!$BJ$122),"")</f>
        <v>173919</v>
      </c>
      <c r="BK122">
        <f ca="1">IFERROR(IF(0=LEN(ReferenceData!$BK$122),"",ReferenceData!$BK$122),"")</f>
        <v>165938</v>
      </c>
      <c r="BL122">
        <f ca="1">IFERROR(IF(0=LEN(ReferenceData!$BL$122),"",ReferenceData!$BL$122),"")</f>
        <v>163231</v>
      </c>
      <c r="BM122" t="str">
        <f ca="1">IFERROR(IF(0=LEN(ReferenceData!$BM$122),"",ReferenceData!$BM$122),"")</f>
        <v/>
      </c>
    </row>
    <row r="123" spans="1:65">
      <c r="A123" t="str">
        <f>IFERROR(IF(0=LEN(ReferenceData!$A$123),"",ReferenceData!$A$123),"")</f>
        <v xml:space="preserve">    Wells Fargo &amp; Co</v>
      </c>
      <c r="B123" t="str">
        <f>IFERROR(IF(0=LEN(ReferenceData!$B$123),"",ReferenceData!$B$123),"")</f>
        <v>WFC US Equity</v>
      </c>
      <c r="C123" t="str">
        <f>IFERROR(IF(0=LEN(ReferenceData!$C$123),"",ReferenceData!$C$123),"")</f>
        <v>BS960</v>
      </c>
      <c r="D123" t="str">
        <f>IFERROR(IF(0=LEN(ReferenceData!$D$123),"",ReferenceData!$D$123),"")</f>
        <v>BS_RESIDENT_MTG_SERVICED_OTHERS</v>
      </c>
      <c r="E123" t="str">
        <f>IFERROR(IF(0=LEN(ReferenceData!$E$123),"",ReferenceData!$E$123),"")</f>
        <v>Dynamic</v>
      </c>
      <c r="F123">
        <f ca="1">IFERROR(IF(0=LEN(ReferenceData!$F$123),"",ReferenceData!$F$123),"")</f>
        <v>488000</v>
      </c>
      <c r="G123">
        <f ca="1">IFERROR(IF(0=LEN(ReferenceData!$G$123),"",ReferenceData!$G$123),"")</f>
        <v>500000</v>
      </c>
      <c r="H123">
        <f ca="1">IFERROR(IF(0=LEN(ReferenceData!$H$123),"",ReferenceData!$H$123),"")</f>
        <v>515000</v>
      </c>
      <c r="I123">
        <f ca="1">IFERROR(IF(0=LEN(ReferenceData!$I$123),"",ReferenceData!$I$123),"")</f>
        <v>536000</v>
      </c>
      <c r="J123">
        <f ca="1">IFERROR(IF(0=LEN(ReferenceData!$J$123),"",ReferenceData!$J$123),"")</f>
        <v>560000</v>
      </c>
      <c r="K123">
        <f ca="1">IFERROR(IF(0=LEN(ReferenceData!$K$123),"",ReferenceData!$K$123),"")</f>
        <v>592000</v>
      </c>
      <c r="L123">
        <f ca="1">IFERROR(IF(0=LEN(ReferenceData!$L$123),"",ReferenceData!$L$123),"")</f>
        <v>637000</v>
      </c>
      <c r="M123">
        <f ca="1">IFERROR(IF(0=LEN(ReferenceData!$M$123),"",ReferenceData!$M$123),"")</f>
        <v>668000</v>
      </c>
      <c r="N123">
        <f ca="1">IFERROR(IF(0=LEN(ReferenceData!$N$123),"",ReferenceData!$N$123),"")</f>
        <v>681000</v>
      </c>
      <c r="O123">
        <f ca="1">IFERROR(IF(0=LEN(ReferenceData!$O$123),"",ReferenceData!$O$123),"")</f>
        <v>688000</v>
      </c>
      <c r="P123">
        <f ca="1">IFERROR(IF(0=LEN(ReferenceData!$P$123),"",ReferenceData!$P$123),"")</f>
        <v>699000</v>
      </c>
      <c r="Q123">
        <f ca="1">IFERROR(IF(0=LEN(ReferenceData!$Q$123),"",ReferenceData!$Q$123),"")</f>
        <v>705000</v>
      </c>
      <c r="R123">
        <f ca="1">IFERROR(IF(0=LEN(ReferenceData!$R$123),"",ReferenceData!$R$123),"")</f>
        <v>718000</v>
      </c>
      <c r="S123">
        <f ca="1">IFERROR(IF(0=LEN(ReferenceData!$S$123),"",ReferenceData!$S$123),"")</f>
        <v>741000</v>
      </c>
      <c r="T123">
        <f ca="1">IFERROR(IF(0=LEN(ReferenceData!$T$123),"",ReferenceData!$T$123),"")</f>
        <v>771000</v>
      </c>
      <c r="U123">
        <f ca="1">IFERROR(IF(0=LEN(ReferenceData!$U$123),"",ReferenceData!$U$123),"")</f>
        <v>804000</v>
      </c>
      <c r="V123">
        <f ca="1">IFERROR(IF(0=LEN(ReferenceData!$V$123),"",ReferenceData!$V$123),"")</f>
        <v>859000</v>
      </c>
      <c r="W123">
        <f ca="1">IFERROR(IF(0=LEN(ReferenceData!$W$123),"",ReferenceData!$W$123),"")</f>
        <v>920000</v>
      </c>
      <c r="X123">
        <f ca="1">IFERROR(IF(0=LEN(ReferenceData!$X$123),"",ReferenceData!$X$123),"")</f>
        <v>992000</v>
      </c>
      <c r="Y123">
        <f ca="1">IFERROR(IF(0=LEN(ReferenceData!$Y$123),"",ReferenceData!$Y$123),"")</f>
        <v>1041000</v>
      </c>
      <c r="Z123">
        <f ca="1">IFERROR(IF(0=LEN(ReferenceData!$Z$123),"",ReferenceData!$Z$123),"")</f>
        <v>1063000</v>
      </c>
      <c r="AA123">
        <f ca="1">IFERROR(IF(0=LEN(ReferenceData!$AA$123),"",ReferenceData!$AA$123),"")</f>
        <v>1086000</v>
      </c>
      <c r="AB123">
        <f ca="1">IFERROR(IF(0=LEN(ReferenceData!$AB$123),"",ReferenceData!$AB$123),"")</f>
        <v>1112000</v>
      </c>
      <c r="AC123">
        <f ca="1">IFERROR(IF(0=LEN(ReferenceData!$AC$123),"",ReferenceData!$AC$123),"")</f>
        <v>1125000</v>
      </c>
      <c r="AD123">
        <f ca="1">IFERROR(IF(0=LEN(ReferenceData!$AD$123),"",ReferenceData!$AD$123),"")</f>
        <v>1164</v>
      </c>
      <c r="AE123">
        <f ca="1">IFERROR(IF(0=LEN(ReferenceData!$AE$123),"",ReferenceData!$AE$123),"")</f>
        <v>1184000</v>
      </c>
      <c r="AF123">
        <f ca="1">IFERROR(IF(0=LEN(ReferenceData!$AF$123),"",ReferenceData!$AF$123),"")</f>
        <v>1190000</v>
      </c>
      <c r="AG123">
        <f ca="1">IFERROR(IF(0=LEN(ReferenceData!$AG$123),"",ReferenceData!$AG$123),"")</f>
        <v>1201000</v>
      </c>
      <c r="AH123">
        <f ca="1">IFERROR(IF(0=LEN(ReferenceData!$AH$123),"",ReferenceData!$AH$123),"")</f>
        <v>1209000</v>
      </c>
      <c r="AI123">
        <f ca="1">IFERROR(IF(0=LEN(ReferenceData!$AI$123),"",ReferenceData!$AI$123),"")</f>
        <v>1223000</v>
      </c>
      <c r="AJ123">
        <f ca="1">IFERROR(IF(0=LEN(ReferenceData!$AJ$123),"",ReferenceData!$AJ$123),"")</f>
        <v>1189000</v>
      </c>
      <c r="AK123">
        <f ca="1">IFERROR(IF(0=LEN(ReferenceData!$AK$123),"",ReferenceData!$AK$123),"")</f>
        <v>1204000</v>
      </c>
      <c r="AL123">
        <f ca="1">IFERROR(IF(0=LEN(ReferenceData!$AL$123),"",ReferenceData!$AL$123),"")</f>
        <v>1205000</v>
      </c>
      <c r="AM123">
        <f ca="1">IFERROR(IF(0=LEN(ReferenceData!$AM$123),"",ReferenceData!$AM$123),"")</f>
        <v>1226000</v>
      </c>
      <c r="AN123">
        <f ca="1">IFERROR(IF(0=LEN(ReferenceData!$AN$123),"",ReferenceData!$AN$123),"")</f>
        <v>1250000</v>
      </c>
      <c r="AO123">
        <f ca="1">IFERROR(IF(0=LEN(ReferenceData!$AO$123),"",ReferenceData!$AO$123),"")</f>
        <v>1280000</v>
      </c>
      <c r="AP123">
        <f ca="1">IFERROR(IF(0=LEN(ReferenceData!$AP$123),"",ReferenceData!$AP$123),"")</f>
        <v>1300000</v>
      </c>
      <c r="AQ123">
        <f ca="1">IFERROR(IF(0=LEN(ReferenceData!$AQ$123),"",ReferenceData!$AQ$123),"")</f>
        <v>1324323</v>
      </c>
      <c r="AR123">
        <f ca="1">IFERROR(IF(0=LEN(ReferenceData!$AR$123),"",ReferenceData!$AR$123),"")</f>
        <v>1344000</v>
      </c>
      <c r="AS123">
        <f ca="1">IFERROR(IF(0=LEN(ReferenceData!$AS$123),"",ReferenceData!$AS$123),"")</f>
        <v>1374000</v>
      </c>
      <c r="AT123">
        <f ca="1">IFERROR(IF(0=LEN(ReferenceData!$AT$123),"",ReferenceData!$AT$123),"")</f>
        <v>1405000</v>
      </c>
      <c r="AU123">
        <f ca="1">IFERROR(IF(0=LEN(ReferenceData!$AU$123),"",ReferenceData!$AU$123),"")</f>
        <v>1430000</v>
      </c>
      <c r="AV123">
        <f ca="1">IFERROR(IF(0=LEN(ReferenceData!$AV$123),"",ReferenceData!$AV$123),"")</f>
        <v>1451000</v>
      </c>
      <c r="AW123">
        <f ca="1">IFERROR(IF(0=LEN(ReferenceData!$AW$123),"",ReferenceData!$AW$123),"")</f>
        <v>1470000</v>
      </c>
      <c r="AX123">
        <f ca="1">IFERROR(IF(0=LEN(ReferenceData!$AX$123),"",ReferenceData!$AX$123),"")</f>
        <v>1485000</v>
      </c>
      <c r="AY123">
        <f ca="1">IFERROR(IF(0=LEN(ReferenceData!$AY$123),"",ReferenceData!$AY$123),"")</f>
        <v>1494000</v>
      </c>
      <c r="AZ123">
        <f ca="1">IFERROR(IF(0=LEN(ReferenceData!$AZ$123),"",ReferenceData!$AZ$123),"")</f>
        <v>1487000</v>
      </c>
      <c r="BA123">
        <f ca="1">IFERROR(IF(0=LEN(ReferenceData!$BA$123),"",ReferenceData!$BA$123),"")</f>
        <v>1486000</v>
      </c>
      <c r="BB123">
        <f ca="1">IFERROR(IF(0=LEN(ReferenceData!$BB$123),"",ReferenceData!$BB$123),"")</f>
        <v>1498000</v>
      </c>
      <c r="BC123">
        <f ca="1">IFERROR(IF(0=LEN(ReferenceData!$BC$123),"",ReferenceData!$BC$123),"")</f>
        <v>1508000</v>
      </c>
      <c r="BD123">
        <f ca="1">IFERROR(IF(0=LEN(ReferenceData!$BD$123),"",ReferenceData!$BD$123),"")</f>
        <v>1499000</v>
      </c>
      <c r="BE123">
        <f ca="1">IFERROR(IF(0=LEN(ReferenceData!$BE$123),"",ReferenceData!$BE$123),"")</f>
        <v>1483000</v>
      </c>
      <c r="BF123">
        <f ca="1">IFERROR(IF(0=LEN(ReferenceData!$BF$123),"",ReferenceData!$BF$123),"")</f>
        <v>1456000</v>
      </c>
      <c r="BG123">
        <f ca="1">IFERROR(IF(0=LEN(ReferenceData!$BG$123),"",ReferenceData!$BG$123),"")</f>
        <v>1457000</v>
      </c>
      <c r="BH123">
        <f ca="1">IFERROR(IF(0=LEN(ReferenceData!$BH$123),"",ReferenceData!$BH$123),"")</f>
        <v>1464000</v>
      </c>
      <c r="BI123">
        <f ca="1">IFERROR(IF(0=LEN(ReferenceData!$BI$123),"",ReferenceData!$BI$123),"")</f>
        <v>1453000</v>
      </c>
      <c r="BJ123">
        <f ca="1">IFERROR(IF(0=LEN(ReferenceData!$BJ$123),"",ReferenceData!$BJ$123),"")</f>
        <v>1429000</v>
      </c>
      <c r="BK123">
        <f ca="1">IFERROR(IF(0=LEN(ReferenceData!$BK$123),"",ReferenceData!$BK$123),"")</f>
        <v>1433000</v>
      </c>
      <c r="BL123">
        <f ca="1">IFERROR(IF(0=LEN(ReferenceData!$BL$123),"",ReferenceData!$BL$123),"")</f>
        <v>1437000</v>
      </c>
      <c r="BM123" t="str">
        <f ca="1">IFERROR(IF(0=LEN(ReferenceData!$BM$123),"",ReferenceData!$BM$123),"")</f>
        <v/>
      </c>
    </row>
    <row r="124" spans="1:65">
      <c r="A124" t="str">
        <f>IFERROR(IF(0=LEN(ReferenceData!$A$124),"",ReferenceData!$A$124),"")</f>
        <v xml:space="preserve">    Western Alliance Bancorp</v>
      </c>
      <c r="B124" t="str">
        <f>IFERROR(IF(0=LEN(ReferenceData!$B$124),"",ReferenceData!$B$124),"")</f>
        <v>WAL US Equity</v>
      </c>
      <c r="C124" t="str">
        <f>IFERROR(IF(0=LEN(ReferenceData!$C$124),"",ReferenceData!$C$124),"")</f>
        <v>BS960</v>
      </c>
      <c r="D124" t="str">
        <f>IFERROR(IF(0=LEN(ReferenceData!$D$124),"",ReferenceData!$D$124),"")</f>
        <v>BS_RESIDENT_MTG_SERVICED_OTHERS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 t="str">
        <f ca="1">IFERROR(IF(0=LEN(ReferenceData!$G$124),"",ReferenceData!$G$124),"")</f>
        <v/>
      </c>
      <c r="H124" t="str">
        <f ca="1">IFERROR(IF(0=LEN(ReferenceData!$H$124),"",ReferenceData!$H$124),"")</f>
        <v/>
      </c>
      <c r="I124" t="str">
        <f ca="1">IFERROR(IF(0=LEN(ReferenceData!$I$124),"",ReferenceData!$I$124),"")</f>
        <v/>
      </c>
      <c r="J124" t="str">
        <f ca="1">IFERROR(IF(0=LEN(ReferenceData!$J$124),"",ReferenceData!$J$124),"")</f>
        <v/>
      </c>
      <c r="K124" t="str">
        <f ca="1">IFERROR(IF(0=LEN(ReferenceData!$K$124),"",ReferenceData!$K$124),"")</f>
        <v/>
      </c>
      <c r="L124" t="str">
        <f ca="1">IFERROR(IF(0=LEN(ReferenceData!$L$124),"",ReferenceData!$L$124),"")</f>
        <v/>
      </c>
      <c r="M124" t="str">
        <f ca="1">IFERROR(IF(0=LEN(ReferenceData!$M$124),"",ReferenceData!$M$124),"")</f>
        <v/>
      </c>
      <c r="N124" t="str">
        <f ca="1">IFERROR(IF(0=LEN(ReferenceData!$N$124),"",ReferenceData!$N$124),"")</f>
        <v/>
      </c>
      <c r="O124" t="str">
        <f ca="1">IFERROR(IF(0=LEN(ReferenceData!$O$124),"",ReferenceData!$O$124),"")</f>
        <v/>
      </c>
      <c r="P124" t="str">
        <f ca="1">IFERROR(IF(0=LEN(ReferenceData!$P$124),"",ReferenceData!$P$124),"")</f>
        <v/>
      </c>
      <c r="Q124" t="str">
        <f ca="1">IFERROR(IF(0=LEN(ReferenceData!$Q$124),"",ReferenceData!$Q$124),"")</f>
        <v/>
      </c>
      <c r="R124" t="str">
        <f ca="1">IFERROR(IF(0=LEN(ReferenceData!$R$124),"",ReferenceData!$R$124),"")</f>
        <v/>
      </c>
      <c r="S124" t="str">
        <f ca="1">IFERROR(IF(0=LEN(ReferenceData!$S$124),"",ReferenceData!$S$124),"")</f>
        <v/>
      </c>
      <c r="T124" t="str">
        <f ca="1">IFERROR(IF(0=LEN(ReferenceData!$T$124),"",ReferenceData!$T$124),"")</f>
        <v/>
      </c>
      <c r="U124" t="str">
        <f ca="1">IFERROR(IF(0=LEN(ReferenceData!$U$124),"",ReferenceData!$U$124),"")</f>
        <v/>
      </c>
      <c r="V124" t="str">
        <f ca="1">IFERROR(IF(0=LEN(ReferenceData!$V$124),"",ReferenceData!$V$124),"")</f>
        <v/>
      </c>
      <c r="W124" t="str">
        <f ca="1">IFERROR(IF(0=LEN(ReferenceData!$W$124),"",ReferenceData!$W$124),"")</f>
        <v/>
      </c>
      <c r="X124" t="str">
        <f ca="1">IFERROR(IF(0=LEN(ReferenceData!$X$124),"",ReferenceData!$X$124),"")</f>
        <v/>
      </c>
      <c r="Y124" t="str">
        <f ca="1">IFERROR(IF(0=LEN(ReferenceData!$Y$124),"",ReferenceData!$Y$124),"")</f>
        <v/>
      </c>
      <c r="Z124" t="str">
        <f ca="1">IFERROR(IF(0=LEN(ReferenceData!$Z$124),"",ReferenceData!$Z$124),"")</f>
        <v/>
      </c>
      <c r="AA124" t="str">
        <f ca="1">IFERROR(IF(0=LEN(ReferenceData!$AA$124),"",ReferenceData!$AA$124),"")</f>
        <v/>
      </c>
      <c r="AB124" t="str">
        <f ca="1">IFERROR(IF(0=LEN(ReferenceData!$AB$124),"",ReferenceData!$AB$124),"")</f>
        <v/>
      </c>
      <c r="AC124" t="str">
        <f ca="1">IFERROR(IF(0=LEN(ReferenceData!$AC$124),"",ReferenceData!$AC$124),"")</f>
        <v/>
      </c>
      <c r="AD124" t="str">
        <f ca="1">IFERROR(IF(0=LEN(ReferenceData!$AD$124),"",ReferenceData!$AD$124),"")</f>
        <v/>
      </c>
      <c r="AE124" t="str">
        <f ca="1">IFERROR(IF(0=LEN(ReferenceData!$AE$124),"",ReferenceData!$AE$124),"")</f>
        <v/>
      </c>
      <c r="AF124" t="str">
        <f ca="1">IFERROR(IF(0=LEN(ReferenceData!$AF$124),"",ReferenceData!$AF$124),"")</f>
        <v/>
      </c>
      <c r="AG124" t="str">
        <f ca="1">IFERROR(IF(0=LEN(ReferenceData!$AG$124),"",ReferenceData!$AG$124),"")</f>
        <v/>
      </c>
      <c r="AH124" t="str">
        <f ca="1">IFERROR(IF(0=LEN(ReferenceData!$AH$124),"",ReferenceData!$AH$124),"")</f>
        <v/>
      </c>
      <c r="AI124" t="str">
        <f ca="1">IFERROR(IF(0=LEN(ReferenceData!$AI$124),"",ReferenceData!$AI$124),"")</f>
        <v/>
      </c>
      <c r="AJ124" t="str">
        <f ca="1">IFERROR(IF(0=LEN(ReferenceData!$AJ$124),"",ReferenceData!$AJ$124),"")</f>
        <v/>
      </c>
      <c r="AK124" t="str">
        <f ca="1">IFERROR(IF(0=LEN(ReferenceData!$AK$124),"",ReferenceData!$AK$124),"")</f>
        <v/>
      </c>
      <c r="AL124" t="str">
        <f ca="1">IFERROR(IF(0=LEN(ReferenceData!$AL$124),"",ReferenceData!$AL$124),"")</f>
        <v/>
      </c>
      <c r="AM124" t="str">
        <f ca="1">IFERROR(IF(0=LEN(ReferenceData!$AM$124),"",ReferenceData!$AM$124),"")</f>
        <v/>
      </c>
      <c r="AN124" t="str">
        <f ca="1">IFERROR(IF(0=LEN(ReferenceData!$AN$124),"",ReferenceData!$AN$124),"")</f>
        <v/>
      </c>
      <c r="AO124" t="str">
        <f ca="1">IFERROR(IF(0=LEN(ReferenceData!$AO$124),"",ReferenceData!$AO$124),"")</f>
        <v/>
      </c>
      <c r="AP124" t="str">
        <f ca="1">IFERROR(IF(0=LEN(ReferenceData!$AP$124),"",ReferenceData!$AP$124),"")</f>
        <v/>
      </c>
      <c r="AQ124" t="str">
        <f ca="1">IFERROR(IF(0=LEN(ReferenceData!$AQ$124),"",ReferenceData!$AQ$124),"")</f>
        <v/>
      </c>
      <c r="AR124" t="str">
        <f ca="1">IFERROR(IF(0=LEN(ReferenceData!$AR$124),"",ReferenceData!$AR$124),"")</f>
        <v/>
      </c>
      <c r="AS124" t="str">
        <f ca="1">IFERROR(IF(0=LEN(ReferenceData!$AS$124),"",ReferenceData!$AS$124),"")</f>
        <v/>
      </c>
      <c r="AT124" t="str">
        <f ca="1">IFERROR(IF(0=LEN(ReferenceData!$AT$124),"",ReferenceData!$AT$124),"")</f>
        <v/>
      </c>
      <c r="AU124" t="str">
        <f ca="1">IFERROR(IF(0=LEN(ReferenceData!$AU$124),"",ReferenceData!$AU$124),"")</f>
        <v/>
      </c>
      <c r="AV124" t="str">
        <f ca="1">IFERROR(IF(0=LEN(ReferenceData!$AV$124),"",ReferenceData!$AV$124),"")</f>
        <v/>
      </c>
      <c r="AW124" t="str">
        <f ca="1">IFERROR(IF(0=LEN(ReferenceData!$AW$124),"",ReferenceData!$AW$124),"")</f>
        <v/>
      </c>
      <c r="AX124" t="str">
        <f ca="1">IFERROR(IF(0=LEN(ReferenceData!$AX$124),"",ReferenceData!$AX$124),"")</f>
        <v/>
      </c>
      <c r="AY124" t="str">
        <f ca="1">IFERROR(IF(0=LEN(ReferenceData!$AY$124),"",ReferenceData!$AY$124),"")</f>
        <v/>
      </c>
      <c r="AZ124" t="str">
        <f ca="1">IFERROR(IF(0=LEN(ReferenceData!$AZ$124),"",ReferenceData!$AZ$124),"")</f>
        <v/>
      </c>
      <c r="BA124" t="str">
        <f ca="1">IFERROR(IF(0=LEN(ReferenceData!$BA$124),"",ReferenceData!$BA$124),"")</f>
        <v/>
      </c>
      <c r="BB124" t="str">
        <f ca="1">IFERROR(IF(0=LEN(ReferenceData!$BB$124),"",ReferenceData!$BB$124),"")</f>
        <v/>
      </c>
      <c r="BC124" t="str">
        <f ca="1">IFERROR(IF(0=LEN(ReferenceData!$BC$124),"",ReferenceData!$BC$124),"")</f>
        <v/>
      </c>
      <c r="BD124" t="str">
        <f ca="1">IFERROR(IF(0=LEN(ReferenceData!$BD$124),"",ReferenceData!$BD$124),"")</f>
        <v/>
      </c>
      <c r="BE124" t="str">
        <f ca="1">IFERROR(IF(0=LEN(ReferenceData!$BE$124),"",ReferenceData!$BE$124),"")</f>
        <v/>
      </c>
      <c r="BF124" t="str">
        <f ca="1">IFERROR(IF(0=LEN(ReferenceData!$BF$124),"",ReferenceData!$BF$124),"")</f>
        <v/>
      </c>
      <c r="BG124" t="str">
        <f ca="1">IFERROR(IF(0=LEN(ReferenceData!$BG$124),"",ReferenceData!$BG$124),"")</f>
        <v/>
      </c>
      <c r="BH124" t="str">
        <f ca="1">IFERROR(IF(0=LEN(ReferenceData!$BH$124),"",ReferenceData!$BH$124),"")</f>
        <v/>
      </c>
      <c r="BI124" t="str">
        <f ca="1">IFERROR(IF(0=LEN(ReferenceData!$BI$124),"",ReferenceData!$BI$124),"")</f>
        <v/>
      </c>
      <c r="BJ124" t="str">
        <f ca="1">IFERROR(IF(0=LEN(ReferenceData!$BJ$124),"",ReferenceData!$BJ$124),"")</f>
        <v/>
      </c>
      <c r="BK124" t="str">
        <f ca="1">IFERROR(IF(0=LEN(ReferenceData!$BK$124),"",ReferenceData!$BK$124),"")</f>
        <v/>
      </c>
      <c r="BL124" t="str">
        <f ca="1">IFERROR(IF(0=LEN(ReferenceData!$BL$124),"",ReferenceData!$BL$124),"")</f>
        <v/>
      </c>
      <c r="BM124" t="str">
        <f ca="1">IFERROR(IF(0=LEN(ReferenceData!$BM$124),"",ReferenceData!$BM$124),"")</f>
        <v/>
      </c>
    </row>
    <row r="125" spans="1:65">
      <c r="A125" t="str">
        <f>IFERROR(IF(0=LEN(ReferenceData!$A$125),"",ReferenceData!$A$125),"")</f>
        <v xml:space="preserve">    Zions Bancorp NA</v>
      </c>
      <c r="B125" t="str">
        <f>IFERROR(IF(0=LEN(ReferenceData!$B$125),"",ReferenceData!$B$125),"")</f>
        <v>ZION US Equity</v>
      </c>
      <c r="C125" t="str">
        <f>IFERROR(IF(0=LEN(ReferenceData!$C$125),"",ReferenceData!$C$125),"")</f>
        <v>BS960</v>
      </c>
      <c r="D125" t="str">
        <f>IFERROR(IF(0=LEN(ReferenceData!$D$125),"",ReferenceData!$D$125),"")</f>
        <v>BS_RESIDENT_MTG_SERVICED_OTHERS</v>
      </c>
      <c r="E125" t="str">
        <f>IFERROR(IF(0=LEN(ReferenceData!$E$125),"",ReferenceData!$E$125),"")</f>
        <v>Dynamic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 t="str">
        <f ca="1">IFERROR(IF(0=LEN(ReferenceData!$K$125),"",ReferenceData!$K$125),"")</f>
        <v/>
      </c>
      <c r="L125" t="str">
        <f ca="1">IFERROR(IF(0=LEN(ReferenceData!$L$125),"",ReferenceData!$L$125),"")</f>
        <v/>
      </c>
      <c r="M125" t="str">
        <f ca="1">IFERROR(IF(0=LEN(ReferenceData!$M$125),"",ReferenceData!$M$125),"")</f>
        <v/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 t="str">
        <f ca="1">IFERROR(IF(0=LEN(ReferenceData!$S$125),"",ReferenceData!$S$125),"")</f>
        <v/>
      </c>
      <c r="T125" t="str">
        <f ca="1">IFERROR(IF(0=LEN(ReferenceData!$T$125),"",ReferenceData!$T$125),"")</f>
        <v/>
      </c>
      <c r="U125" t="str">
        <f ca="1">IFERROR(IF(0=LEN(ReferenceData!$U$125),"",ReferenceData!$U$125),"")</f>
        <v/>
      </c>
      <c r="V125" t="str">
        <f ca="1">IFERROR(IF(0=LEN(ReferenceData!$V$125),"",ReferenceData!$V$125),"")</f>
        <v/>
      </c>
      <c r="W125" t="str">
        <f ca="1">IFERROR(IF(0=LEN(ReferenceData!$W$125),"",ReferenceData!$W$125),"")</f>
        <v/>
      </c>
      <c r="X125" t="str">
        <f ca="1">IFERROR(IF(0=LEN(ReferenceData!$X$125),"",ReferenceData!$X$125),"")</f>
        <v/>
      </c>
      <c r="Y125" t="str">
        <f ca="1">IFERROR(IF(0=LEN(ReferenceData!$Y$125),"",ReferenceData!$Y$125),"")</f>
        <v/>
      </c>
      <c r="Z125" t="str">
        <f ca="1">IFERROR(IF(0=LEN(ReferenceData!$Z$125),"",ReferenceData!$Z$125),"")</f>
        <v/>
      </c>
      <c r="AA125" t="str">
        <f ca="1">IFERROR(IF(0=LEN(ReferenceData!$AA$125),"",ReferenceData!$AA$125),"")</f>
        <v/>
      </c>
      <c r="AB125" t="str">
        <f ca="1">IFERROR(IF(0=LEN(ReferenceData!$AB$125),"",ReferenceData!$AB$125),"")</f>
        <v/>
      </c>
      <c r="AC125" t="str">
        <f ca="1">IFERROR(IF(0=LEN(ReferenceData!$AC$125),"",ReferenceData!$AC$125),"")</f>
        <v/>
      </c>
      <c r="AD125" t="str">
        <f ca="1">IFERROR(IF(0=LEN(ReferenceData!$AD$125),"",ReferenceData!$AD$125),"")</f>
        <v/>
      </c>
      <c r="AE125" t="str">
        <f ca="1">IFERROR(IF(0=LEN(ReferenceData!$AE$125),"",ReferenceData!$AE$125),"")</f>
        <v/>
      </c>
      <c r="AF125" t="str">
        <f ca="1">IFERROR(IF(0=LEN(ReferenceData!$AF$125),"",ReferenceData!$AF$125),"")</f>
        <v/>
      </c>
      <c r="AG125" t="str">
        <f ca="1">IFERROR(IF(0=LEN(ReferenceData!$AG$125),"",ReferenceData!$AG$125),"")</f>
        <v/>
      </c>
      <c r="AH125" t="str">
        <f ca="1">IFERROR(IF(0=LEN(ReferenceData!$AH$125),"",ReferenceData!$AH$125),"")</f>
        <v/>
      </c>
      <c r="AI125" t="str">
        <f ca="1">IFERROR(IF(0=LEN(ReferenceData!$AI$125),"",ReferenceData!$AI$125),"")</f>
        <v/>
      </c>
      <c r="AJ125" t="str">
        <f ca="1">IFERROR(IF(0=LEN(ReferenceData!$AJ$125),"",ReferenceData!$AJ$125),"")</f>
        <v/>
      </c>
      <c r="AK125" t="str">
        <f ca="1">IFERROR(IF(0=LEN(ReferenceData!$AK$125),"",ReferenceData!$AK$125),"")</f>
        <v/>
      </c>
      <c r="AL125" t="str">
        <f ca="1">IFERROR(IF(0=LEN(ReferenceData!$AL$125),"",ReferenceData!$AL$125),"")</f>
        <v/>
      </c>
      <c r="AM125" t="str">
        <f ca="1">IFERROR(IF(0=LEN(ReferenceData!$AM$125),"",ReferenceData!$AM$125),"")</f>
        <v/>
      </c>
      <c r="AN125" t="str">
        <f ca="1">IFERROR(IF(0=LEN(ReferenceData!$AN$125),"",ReferenceData!$AN$125),"")</f>
        <v/>
      </c>
      <c r="AO125" t="str">
        <f ca="1">IFERROR(IF(0=LEN(ReferenceData!$AO$125),"",ReferenceData!$AO$125),"")</f>
        <v/>
      </c>
      <c r="AP125" t="str">
        <f ca="1">IFERROR(IF(0=LEN(ReferenceData!$AP$125),"",ReferenceData!$AP$125),"")</f>
        <v/>
      </c>
      <c r="AQ125" t="str">
        <f ca="1">IFERROR(IF(0=LEN(ReferenceData!$AQ$125),"",ReferenceData!$AQ$125),"")</f>
        <v/>
      </c>
      <c r="AR125" t="str">
        <f ca="1">IFERROR(IF(0=LEN(ReferenceData!$AR$125),"",ReferenceData!$AR$125),"")</f>
        <v/>
      </c>
      <c r="AS125" t="str">
        <f ca="1">IFERROR(IF(0=LEN(ReferenceData!$AS$125),"",ReferenceData!$AS$125),"")</f>
        <v/>
      </c>
      <c r="AT125" t="str">
        <f ca="1">IFERROR(IF(0=LEN(ReferenceData!$AT$125),"",ReferenceData!$AT$125),"")</f>
        <v/>
      </c>
      <c r="AU125" t="str">
        <f ca="1">IFERROR(IF(0=LEN(ReferenceData!$AU$125),"",ReferenceData!$AU$125),"")</f>
        <v/>
      </c>
      <c r="AV125" t="str">
        <f ca="1">IFERROR(IF(0=LEN(ReferenceData!$AV$125),"",ReferenceData!$AV$125),"")</f>
        <v/>
      </c>
      <c r="AW125" t="str">
        <f ca="1">IFERROR(IF(0=LEN(ReferenceData!$AW$125),"",ReferenceData!$AW$125),"")</f>
        <v/>
      </c>
      <c r="AX125" t="str">
        <f ca="1">IFERROR(IF(0=LEN(ReferenceData!$AX$125),"",ReferenceData!$AX$125),"")</f>
        <v/>
      </c>
      <c r="AY125" t="str">
        <f ca="1">IFERROR(IF(0=LEN(ReferenceData!$AY$125),"",ReferenceData!$AY$125),"")</f>
        <v/>
      </c>
      <c r="AZ125" t="str">
        <f ca="1">IFERROR(IF(0=LEN(ReferenceData!$AZ$125),"",ReferenceData!$AZ$125),"")</f>
        <v/>
      </c>
      <c r="BA125" t="str">
        <f ca="1">IFERROR(IF(0=LEN(ReferenceData!$BA$125),"",ReferenceData!$BA$125),"")</f>
        <v/>
      </c>
      <c r="BB125" t="str">
        <f ca="1">IFERROR(IF(0=LEN(ReferenceData!$BB$125),"",ReferenceData!$BB$125),"")</f>
        <v/>
      </c>
      <c r="BC125" t="str">
        <f ca="1">IFERROR(IF(0=LEN(ReferenceData!$BC$125),"",ReferenceData!$BC$125),"")</f>
        <v/>
      </c>
      <c r="BD125" t="str">
        <f ca="1">IFERROR(IF(0=LEN(ReferenceData!$BD$125),"",ReferenceData!$BD$125),"")</f>
        <v/>
      </c>
      <c r="BE125" t="str">
        <f ca="1">IFERROR(IF(0=LEN(ReferenceData!$BE$125),"",ReferenceData!$BE$125),"")</f>
        <v/>
      </c>
      <c r="BF125" t="str">
        <f ca="1">IFERROR(IF(0=LEN(ReferenceData!$BF$125),"",ReferenceData!$BF$125),"")</f>
        <v/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>
      <c r="A126" s="2" t="str">
        <f>IFERROR(IF(0=LEN(ReferenceData!$A$126),"",ReferenceData!$A$126),"")</f>
        <v>Commercial Mortgage Servicing Portfolio</v>
      </c>
      <c r="B126" t="str">
        <f>IFERROR(IF(0=LEN(ReferenceData!$B$126),"",ReferenceData!$B$126),"")</f>
        <v/>
      </c>
      <c r="C126" t="str">
        <f>IFERROR(IF(0=LEN(ReferenceData!$C$126),"",ReferenceData!$C$126),"")</f>
        <v/>
      </c>
      <c r="D126" t="str">
        <f>IFERROR(IF(0=LEN(ReferenceData!$D$126),"",ReferenceData!$D$126),"")</f>
        <v/>
      </c>
      <c r="E126" t="str">
        <f>IFERROR(IF(0=LEN(ReferenceData!$E$126),"",ReferenceData!$E$126),"")</f>
        <v>Sum</v>
      </c>
      <c r="F126">
        <f ca="1">IFERROR(IF(0=LEN(ReferenceData!$F$126),"",ReferenceData!$F$126),"")</f>
        <v>1079633</v>
      </c>
      <c r="G126">
        <f ca="1">IFERROR(IF(0=LEN(ReferenceData!$G$126),"",ReferenceData!$G$126),"")</f>
        <v>1216387</v>
      </c>
      <c r="H126">
        <f ca="1">IFERROR(IF(0=LEN(ReferenceData!$H$126),"",ReferenceData!$H$126),"")</f>
        <v>1202826</v>
      </c>
      <c r="I126">
        <f ca="1">IFERROR(IF(0=LEN(ReferenceData!$I$126),"",ReferenceData!$I$126),"")</f>
        <v>1176152</v>
      </c>
      <c r="J126">
        <f ca="1">IFERROR(IF(0=LEN(ReferenceData!$J$126),"",ReferenceData!$J$126),"")</f>
        <v>1038449</v>
      </c>
      <c r="K126">
        <f ca="1">IFERROR(IF(0=LEN(ReferenceData!$K$126),"",ReferenceData!$K$126),"")</f>
        <v>1183373</v>
      </c>
      <c r="L126">
        <f ca="1">IFERROR(IF(0=LEN(ReferenceData!$L$126),"",ReferenceData!$L$126),"")</f>
        <v>1186396</v>
      </c>
      <c r="M126">
        <f ca="1">IFERROR(IF(0=LEN(ReferenceData!$M$126),"",ReferenceData!$M$126),"")</f>
        <v>1195865</v>
      </c>
      <c r="N126">
        <f ca="1">IFERROR(IF(0=LEN(ReferenceData!$N$126),"",ReferenceData!$N$126),"")</f>
        <v>1198478</v>
      </c>
      <c r="O126">
        <f ca="1">IFERROR(IF(0=LEN(ReferenceData!$O$126),"",ReferenceData!$O$126),"")</f>
        <v>1205342</v>
      </c>
      <c r="P126">
        <f ca="1">IFERROR(IF(0=LEN(ReferenceData!$P$126),"",ReferenceData!$P$126),"")</f>
        <v>1208974</v>
      </c>
      <c r="Q126">
        <f ca="1">IFERROR(IF(0=LEN(ReferenceData!$Q$126),"",ReferenceData!$Q$126),"")</f>
        <v>1199371</v>
      </c>
      <c r="R126">
        <f ca="1">IFERROR(IF(0=LEN(ReferenceData!$R$126),"",ReferenceData!$R$126),"")</f>
        <v>1171131</v>
      </c>
      <c r="S126">
        <f ca="1">IFERROR(IF(0=LEN(ReferenceData!$S$126),"",ReferenceData!$S$126),"")</f>
        <v>1133091</v>
      </c>
      <c r="T126">
        <f ca="1">IFERROR(IF(0=LEN(ReferenceData!$T$126),"",ReferenceData!$T$126),"")</f>
        <v>1107215</v>
      </c>
      <c r="U126">
        <f ca="1">IFERROR(IF(0=LEN(ReferenceData!$U$126),"",ReferenceData!$U$126),"")</f>
        <v>1089908</v>
      </c>
      <c r="V126">
        <f ca="1">IFERROR(IF(0=LEN(ReferenceData!$V$126),"",ReferenceData!$V$126),"")</f>
        <v>1077016</v>
      </c>
      <c r="W126">
        <f ca="1">IFERROR(IF(0=LEN(ReferenceData!$W$126),"",ReferenceData!$W$126),"")</f>
        <v>1082110</v>
      </c>
      <c r="X126">
        <f ca="1">IFERROR(IF(0=LEN(ReferenceData!$X$126),"",ReferenceData!$X$126),"")</f>
        <v>1060509</v>
      </c>
      <c r="Y126">
        <f ca="1">IFERROR(IF(0=LEN(ReferenceData!$Y$126),"",ReferenceData!$Y$126),"")</f>
        <v>697000</v>
      </c>
      <c r="Z126">
        <f ca="1">IFERROR(IF(0=LEN(ReferenceData!$Z$126),"",ReferenceData!$Z$126),"")</f>
        <v>1046186</v>
      </c>
      <c r="AA126">
        <f ca="1">IFERROR(IF(0=LEN(ReferenceData!$AA$126),"",ReferenceData!$AA$126),"")</f>
        <v>999152</v>
      </c>
      <c r="AB126">
        <f ca="1">IFERROR(IF(0=LEN(ReferenceData!$AB$126),"",ReferenceData!$AB$126),"")</f>
        <v>990792</v>
      </c>
      <c r="AC126">
        <f ca="1">IFERROR(IF(0=LEN(ReferenceData!$AC$126),"",ReferenceData!$AC$126),"")</f>
        <v>983989</v>
      </c>
      <c r="AD126">
        <f ca="1">IFERROR(IF(0=LEN(ReferenceData!$AD$126),"",ReferenceData!$AD$126),"")</f>
        <v>291831</v>
      </c>
      <c r="AE126">
        <f ca="1">IFERROR(IF(0=LEN(ReferenceData!$AE$126),"",ReferenceData!$AE$126),"")</f>
        <v>929771</v>
      </c>
      <c r="AF126">
        <f ca="1">IFERROR(IF(0=LEN(ReferenceData!$AF$126),"",ReferenceData!$AF$126),"")</f>
        <v>908062</v>
      </c>
      <c r="AG126">
        <f ca="1">IFERROR(IF(0=LEN(ReferenceData!$AG$126),"",ReferenceData!$AG$126),"")</f>
        <v>891089</v>
      </c>
      <c r="AH126">
        <f ca="1">IFERROR(IF(0=LEN(ReferenceData!$AH$126),"",ReferenceData!$AH$126),"")</f>
        <v>869718</v>
      </c>
      <c r="AI126">
        <f ca="1">IFERROR(IF(0=LEN(ReferenceData!$AI$126),"",ReferenceData!$AI$126),"")</f>
        <v>1353361</v>
      </c>
      <c r="AJ126">
        <f ca="1">IFERROR(IF(0=LEN(ReferenceData!$AJ$126),"",ReferenceData!$AJ$126),"")</f>
        <v>1333667</v>
      </c>
      <c r="AK126">
        <f ca="1">IFERROR(IF(0=LEN(ReferenceData!$AK$126),"",ReferenceData!$AK$126),"")</f>
        <v>1321387</v>
      </c>
      <c r="AL126">
        <f ca="1">IFERROR(IF(0=LEN(ReferenceData!$AL$126),"",ReferenceData!$AL$126),"")</f>
        <v>837135</v>
      </c>
      <c r="AM126">
        <f ca="1">IFERROR(IF(0=LEN(ReferenceData!$AM$126),"",ReferenceData!$AM$126),"")</f>
        <v>1289998</v>
      </c>
      <c r="AN126">
        <f ca="1">IFERROR(IF(0=LEN(ReferenceData!$AN$126),"",ReferenceData!$AN$126),"")</f>
        <v>1286879</v>
      </c>
      <c r="AO126">
        <f ca="1">IFERROR(IF(0=LEN(ReferenceData!$AO$126),"",ReferenceData!$AO$126),"")</f>
        <v>1285756</v>
      </c>
      <c r="AP126">
        <f ca="1">IFERROR(IF(0=LEN(ReferenceData!$AP$126),"",ReferenceData!$AP$126),"")</f>
        <v>1265274</v>
      </c>
      <c r="AQ126">
        <f ca="1">IFERROR(IF(0=LEN(ReferenceData!$AQ$126),"",ReferenceData!$AQ$126),"")</f>
        <v>1248410</v>
      </c>
      <c r="AR126">
        <f ca="1">IFERROR(IF(0=LEN(ReferenceData!$AR$126),"",ReferenceData!$AR$126),"")</f>
        <v>1231315</v>
      </c>
      <c r="AS126">
        <f ca="1">IFERROR(IF(0=LEN(ReferenceData!$AS$126),"",ReferenceData!$AS$126),"")</f>
        <v>1171397</v>
      </c>
      <c r="AT126">
        <f ca="1">IFERROR(IF(0=LEN(ReferenceData!$AT$126),"",ReferenceData!$AT$126),"")</f>
        <v>1102407</v>
      </c>
      <c r="AU126">
        <f ca="1">IFERROR(IF(0=LEN(ReferenceData!$AU$126),"",ReferenceData!$AU$126),"")</f>
        <v>1096293</v>
      </c>
      <c r="AV126">
        <f ca="1">IFERROR(IF(0=LEN(ReferenceData!$AV$126),"",ReferenceData!$AV$126),"")</f>
        <v>1077194</v>
      </c>
      <c r="AW126">
        <f ca="1">IFERROR(IF(0=LEN(ReferenceData!$AW$126),"",ReferenceData!$AW$126),"")</f>
        <v>1026601</v>
      </c>
      <c r="AX126">
        <f ca="1">IFERROR(IF(0=LEN(ReferenceData!$AX$126),"",ReferenceData!$AX$126),"")</f>
        <v>1057731</v>
      </c>
      <c r="AY126">
        <f ca="1">IFERROR(IF(0=LEN(ReferenceData!$AY$126),"",ReferenceData!$AY$126),"")</f>
        <v>1030464</v>
      </c>
      <c r="AZ126">
        <f ca="1">IFERROR(IF(0=LEN(ReferenceData!$AZ$126),"",ReferenceData!$AZ$126),"")</f>
        <v>991398</v>
      </c>
      <c r="BA126">
        <f ca="1">IFERROR(IF(0=LEN(ReferenceData!$BA$126),"",ReferenceData!$BA$126),"")</f>
        <v>923173</v>
      </c>
      <c r="BB126">
        <f ca="1">IFERROR(IF(0=LEN(ReferenceData!$BB$126),"",ReferenceData!$BB$126),"")</f>
        <v>916630</v>
      </c>
      <c r="BC126">
        <f ca="1">IFERROR(IF(0=LEN(ReferenceData!$BC$126),"",ReferenceData!$BC$126),"")</f>
        <v>886309</v>
      </c>
      <c r="BD126">
        <f ca="1">IFERROR(IF(0=LEN(ReferenceData!$BD$126),"",ReferenceData!$BD$126),"")</f>
        <v>886329</v>
      </c>
      <c r="BE126">
        <f ca="1">IFERROR(IF(0=LEN(ReferenceData!$BE$126),"",ReferenceData!$BE$126),"")</f>
        <v>890519</v>
      </c>
      <c r="BF126">
        <f ca="1">IFERROR(IF(0=LEN(ReferenceData!$BF$126),"",ReferenceData!$BF$126),"")</f>
        <v>884608</v>
      </c>
      <c r="BG126">
        <f ca="1">IFERROR(IF(0=LEN(ReferenceData!$BG$126),"",ReferenceData!$BG$126),"")</f>
        <v>888734</v>
      </c>
      <c r="BH126">
        <f ca="1">IFERROR(IF(0=LEN(ReferenceData!$BH$126),"",ReferenceData!$BH$126),"")</f>
        <v>892077</v>
      </c>
      <c r="BI126">
        <f ca="1">IFERROR(IF(0=LEN(ReferenceData!$BI$126),"",ReferenceData!$BI$126),"")</f>
        <v>902369</v>
      </c>
      <c r="BJ126">
        <f ca="1">IFERROR(IF(0=LEN(ReferenceData!$BJ$126),"",ReferenceData!$BJ$126),"")</f>
        <v>903071</v>
      </c>
      <c r="BK126">
        <f ca="1">IFERROR(IF(0=LEN(ReferenceData!$BK$126),"",ReferenceData!$BK$126),"")</f>
        <v>930294</v>
      </c>
      <c r="BL126">
        <f ca="1">IFERROR(IF(0=LEN(ReferenceData!$BL$126),"",ReferenceData!$BL$126),"")</f>
        <v>936495</v>
      </c>
      <c r="BM126">
        <f ca="1">IFERROR(IF(0=LEN(ReferenceData!$BM$126),"",ReferenceData!$BM$126),"")</f>
        <v>282000</v>
      </c>
    </row>
    <row r="127" spans="1:65">
      <c r="A127" t="str">
        <f>IFERROR(IF(0=LEN(ReferenceData!$A$127),"",ReferenceData!$A$127),"")</f>
        <v xml:space="preserve">    Bank OZK</v>
      </c>
      <c r="B127" t="str">
        <f>IFERROR(IF(0=LEN(ReferenceData!$B$127),"",ReferenceData!$B$127),"")</f>
        <v>OZK US Equity</v>
      </c>
      <c r="C127" t="str">
        <f>IFERROR(IF(0=LEN(ReferenceData!$C$127),"",ReferenceData!$C$127),"")</f>
        <v>BS965</v>
      </c>
      <c r="D127" t="str">
        <f>IFERROR(IF(0=LEN(ReferenceData!$D$127),"",ReferenceData!$D$127),"")</f>
        <v>BS_COMML_MTG_SERVICING_PORTFOLIO</v>
      </c>
      <c r="E127" t="str">
        <f>IFERROR(IF(0=LEN(ReferenceData!$E$127),"",ReferenceData!$E$127),"")</f>
        <v>Dynamic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  <c r="K127" t="str">
        <f ca="1">IFERROR(IF(0=LEN(ReferenceData!$K$127),"",ReferenceData!$K$127),"")</f>
        <v/>
      </c>
      <c r="L127" t="str">
        <f ca="1">IFERROR(IF(0=LEN(ReferenceData!$L$127),"",ReferenceData!$L$127),"")</f>
        <v/>
      </c>
      <c r="M127" t="str">
        <f ca="1">IFERROR(IF(0=LEN(ReferenceData!$M$127),"",ReferenceData!$M$127),"")</f>
        <v/>
      </c>
      <c r="N127" t="str">
        <f ca="1">IFERROR(IF(0=LEN(ReferenceData!$N$127),"",ReferenceData!$N$127),"")</f>
        <v/>
      </c>
      <c r="O127" t="str">
        <f ca="1">IFERROR(IF(0=LEN(ReferenceData!$O$127),"",ReferenceData!$O$127),"")</f>
        <v/>
      </c>
      <c r="P127" t="str">
        <f ca="1">IFERROR(IF(0=LEN(ReferenceData!$P$127),"",ReferenceData!$P$127),"")</f>
        <v/>
      </c>
      <c r="Q127" t="str">
        <f ca="1">IFERROR(IF(0=LEN(ReferenceData!$Q$127),"",ReferenceData!$Q$127),"")</f>
        <v/>
      </c>
      <c r="R127" t="str">
        <f ca="1">IFERROR(IF(0=LEN(ReferenceData!$R$127),"",ReferenceData!$R$127),"")</f>
        <v/>
      </c>
      <c r="S127" t="str">
        <f ca="1">IFERROR(IF(0=LEN(ReferenceData!$S$127),"",ReferenceData!$S$127),"")</f>
        <v/>
      </c>
      <c r="T127" t="str">
        <f ca="1">IFERROR(IF(0=LEN(ReferenceData!$T$127),"",ReferenceData!$T$127),"")</f>
        <v/>
      </c>
      <c r="U127" t="str">
        <f ca="1">IFERROR(IF(0=LEN(ReferenceData!$U$127),"",ReferenceData!$U$127),"")</f>
        <v/>
      </c>
      <c r="V127" t="str">
        <f ca="1">IFERROR(IF(0=LEN(ReferenceData!$V$127),"",ReferenceData!$V$127),"")</f>
        <v/>
      </c>
      <c r="W127" t="str">
        <f ca="1">IFERROR(IF(0=LEN(ReferenceData!$W$127),"",ReferenceData!$W$127),"")</f>
        <v/>
      </c>
      <c r="X127" t="str">
        <f ca="1">IFERROR(IF(0=LEN(ReferenceData!$X$127),"",ReferenceData!$X$127),"")</f>
        <v/>
      </c>
      <c r="Y127" t="str">
        <f ca="1">IFERROR(IF(0=LEN(ReferenceData!$Y$127),"",ReferenceData!$Y$127),"")</f>
        <v/>
      </c>
      <c r="Z127" t="str">
        <f ca="1">IFERROR(IF(0=LEN(ReferenceData!$Z$127),"",ReferenceData!$Z$127),"")</f>
        <v/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  <c r="AM127" t="str">
        <f ca="1">IFERROR(IF(0=LEN(ReferenceData!$AM$127),"",ReferenceData!$AM$127),"")</f>
        <v/>
      </c>
      <c r="AN127" t="str">
        <f ca="1">IFERROR(IF(0=LEN(ReferenceData!$AN$127),"",ReferenceData!$AN$127),"")</f>
        <v/>
      </c>
      <c r="AO127" t="str">
        <f ca="1">IFERROR(IF(0=LEN(ReferenceData!$AO$127),"",ReferenceData!$AO$127),"")</f>
        <v/>
      </c>
      <c r="AP127" t="str">
        <f ca="1">IFERROR(IF(0=LEN(ReferenceData!$AP$127),"",ReferenceData!$AP$127),"")</f>
        <v/>
      </c>
      <c r="AQ127" t="str">
        <f ca="1">IFERROR(IF(0=LEN(ReferenceData!$AQ$127),"",ReferenceData!$AQ$127),"")</f>
        <v/>
      </c>
      <c r="AR127" t="str">
        <f ca="1">IFERROR(IF(0=LEN(ReferenceData!$AR$127),"",ReferenceData!$AR$127),"")</f>
        <v/>
      </c>
      <c r="AS127" t="str">
        <f ca="1">IFERROR(IF(0=LEN(ReferenceData!$AS$127),"",ReferenceData!$AS$127),"")</f>
        <v/>
      </c>
      <c r="AT127" t="str">
        <f ca="1">IFERROR(IF(0=LEN(ReferenceData!$AT$127),"",ReferenceData!$AT$127),"")</f>
        <v/>
      </c>
      <c r="AU127" t="str">
        <f ca="1">IFERROR(IF(0=LEN(ReferenceData!$AU$127),"",ReferenceData!$AU$127),"")</f>
        <v/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 t="str">
        <f ca="1">IFERROR(IF(0=LEN(ReferenceData!$AX$127),"",ReferenceData!$AX$127),"")</f>
        <v/>
      </c>
      <c r="AY127" t="str">
        <f ca="1">IFERROR(IF(0=LEN(ReferenceData!$AY$127),"",ReferenceData!$AY$127),"")</f>
        <v/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 t="str">
        <f ca="1">IFERROR(IF(0=LEN(ReferenceData!$BB$127),"",ReferenceData!$BB$127),"")</f>
        <v/>
      </c>
      <c r="BC127" t="str">
        <f ca="1">IFERROR(IF(0=LEN(ReferenceData!$BC$127),"",ReferenceData!$BC$127),"")</f>
        <v/>
      </c>
      <c r="BD127" t="str">
        <f ca="1">IFERROR(IF(0=LEN(ReferenceData!$BD$127),"",ReferenceData!$BD$127),"")</f>
        <v/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 t="str">
        <f ca="1">IFERROR(IF(0=LEN(ReferenceData!$BG$127),"",ReferenceData!$BG$127),"")</f>
        <v/>
      </c>
      <c r="BH127" t="str">
        <f ca="1">IFERROR(IF(0=LEN(ReferenceData!$BH$127),"",ReferenceData!$BH$127),"")</f>
        <v/>
      </c>
      <c r="BI127" t="str">
        <f ca="1">IFERROR(IF(0=LEN(ReferenceData!$BI$127),"",ReferenceData!$BI$127),"")</f>
        <v/>
      </c>
      <c r="BJ127" t="str">
        <f ca="1">IFERROR(IF(0=LEN(ReferenceData!$BJ$127),"",ReferenceData!$BJ$127),"")</f>
        <v/>
      </c>
      <c r="BK127" t="str">
        <f ca="1">IFERROR(IF(0=LEN(ReferenceData!$BK$127),"",ReferenceData!$BK$127),"")</f>
        <v/>
      </c>
      <c r="BL127" t="str">
        <f ca="1">IFERROR(IF(0=LEN(ReferenceData!$BL$127),"",ReferenceData!$BL$127),"")</f>
        <v/>
      </c>
      <c r="BM127" t="str">
        <f ca="1">IFERROR(IF(0=LEN(ReferenceData!$BM$127),"",ReferenceData!$BM$127),"")</f>
        <v/>
      </c>
    </row>
    <row r="128" spans="1:65">
      <c r="A128" t="str">
        <f>IFERROR(IF(0=LEN(ReferenceData!$A$128),"",ReferenceData!$A$128),"")</f>
        <v xml:space="preserve">    Citizens Financial Group Inc</v>
      </c>
      <c r="B128" t="str">
        <f>IFERROR(IF(0=LEN(ReferenceData!$B$128),"",ReferenceData!$B$128),"")</f>
        <v>CFG US Equity</v>
      </c>
      <c r="C128" t="str">
        <f>IFERROR(IF(0=LEN(ReferenceData!$C$128),"",ReferenceData!$C$128),"")</f>
        <v>BS965</v>
      </c>
      <c r="D128" t="str">
        <f>IFERROR(IF(0=LEN(ReferenceData!$D$128),"",ReferenceData!$D$128),"")</f>
        <v>BS_COMML_MTG_SERVICING_PORTFOLIO</v>
      </c>
      <c r="E128" t="str">
        <f>IFERROR(IF(0=LEN(ReferenceData!$E$128),"",ReferenceData!$E$128),"")</f>
        <v>Dynamic</v>
      </c>
      <c r="F128" t="str">
        <f ca="1">IFERROR(IF(0=LEN(ReferenceData!$F$128),"",ReferenceData!$F$128),"")</f>
        <v/>
      </c>
      <c r="G128" t="str">
        <f ca="1">IFERROR(IF(0=LEN(ReferenceData!$G$128),"",ReferenceData!$G$128),"")</f>
        <v/>
      </c>
      <c r="H128" t="str">
        <f ca="1">IFERROR(IF(0=LEN(ReferenceData!$H$128),"",ReferenceData!$H$128),"")</f>
        <v/>
      </c>
      <c r="I128" t="str">
        <f ca="1">IFERROR(IF(0=LEN(ReferenceData!$I$128),"",ReferenceData!$I$128),"")</f>
        <v/>
      </c>
      <c r="J128" t="str">
        <f ca="1">IFERROR(IF(0=LEN(ReferenceData!$J$128),"",ReferenceData!$J$128),"")</f>
        <v/>
      </c>
      <c r="K128" t="str">
        <f ca="1">IFERROR(IF(0=LEN(ReferenceData!$K$128),"",ReferenceData!$K$128),"")</f>
        <v/>
      </c>
      <c r="L128" t="str">
        <f ca="1">IFERROR(IF(0=LEN(ReferenceData!$L$128),"",ReferenceData!$L$128),"")</f>
        <v/>
      </c>
      <c r="M128" t="str">
        <f ca="1">IFERROR(IF(0=LEN(ReferenceData!$M$128),"",ReferenceData!$M$128),"")</f>
        <v/>
      </c>
      <c r="N128" t="str">
        <f ca="1">IFERROR(IF(0=LEN(ReferenceData!$N$128),"",ReferenceData!$N$128),"")</f>
        <v/>
      </c>
      <c r="O128" t="str">
        <f ca="1">IFERROR(IF(0=LEN(ReferenceData!$O$128),"",ReferenceData!$O$128),"")</f>
        <v/>
      </c>
      <c r="P128" t="str">
        <f ca="1">IFERROR(IF(0=LEN(ReferenceData!$P$128),"",ReferenceData!$P$128),"")</f>
        <v/>
      </c>
      <c r="Q128" t="str">
        <f ca="1">IFERROR(IF(0=LEN(ReferenceData!$Q$128),"",ReferenceData!$Q$128),"")</f>
        <v/>
      </c>
      <c r="R128" t="str">
        <f ca="1">IFERROR(IF(0=LEN(ReferenceData!$R$128),"",ReferenceData!$R$128),"")</f>
        <v/>
      </c>
      <c r="S128" t="str">
        <f ca="1">IFERROR(IF(0=LEN(ReferenceData!$S$128),"",ReferenceData!$S$128),"")</f>
        <v/>
      </c>
      <c r="T128" t="str">
        <f ca="1">IFERROR(IF(0=LEN(ReferenceData!$T$128),"",ReferenceData!$T$128),"")</f>
        <v/>
      </c>
      <c r="U128" t="str">
        <f ca="1">IFERROR(IF(0=LEN(ReferenceData!$U$128),"",ReferenceData!$U$128),"")</f>
        <v/>
      </c>
      <c r="V128" t="str">
        <f ca="1">IFERROR(IF(0=LEN(ReferenceData!$V$128),"",ReferenceData!$V$128),"")</f>
        <v/>
      </c>
      <c r="W128" t="str">
        <f ca="1">IFERROR(IF(0=LEN(ReferenceData!$W$128),"",ReferenceData!$W$128),"")</f>
        <v/>
      </c>
      <c r="X128" t="str">
        <f ca="1">IFERROR(IF(0=LEN(ReferenceData!$X$128),"",ReferenceData!$X$128),"")</f>
        <v/>
      </c>
      <c r="Y128" t="str">
        <f ca="1">IFERROR(IF(0=LEN(ReferenceData!$Y$128),"",ReferenceData!$Y$128),"")</f>
        <v/>
      </c>
      <c r="Z128" t="str">
        <f ca="1">IFERROR(IF(0=LEN(ReferenceData!$Z$128),"",ReferenceData!$Z$128),"")</f>
        <v/>
      </c>
      <c r="AA128" t="str">
        <f ca="1">IFERROR(IF(0=LEN(ReferenceData!$AA$128),"",ReferenceData!$AA$128),"")</f>
        <v/>
      </c>
      <c r="AB128" t="str">
        <f ca="1">IFERROR(IF(0=LEN(ReferenceData!$AB$128),"",ReferenceData!$AB$128),"")</f>
        <v/>
      </c>
      <c r="AC128" t="str">
        <f ca="1">IFERROR(IF(0=LEN(ReferenceData!$AC$128),"",ReferenceData!$AC$128),"")</f>
        <v/>
      </c>
      <c r="AD128" t="str">
        <f ca="1">IFERROR(IF(0=LEN(ReferenceData!$AD$128),"",ReferenceData!$AD$128),"")</f>
        <v/>
      </c>
      <c r="AE128" t="str">
        <f ca="1">IFERROR(IF(0=LEN(ReferenceData!$AE$128),"",ReferenceData!$AE$128),"")</f>
        <v/>
      </c>
      <c r="AF128" t="str">
        <f ca="1">IFERROR(IF(0=LEN(ReferenceData!$AF$128),"",ReferenceData!$AF$128),"")</f>
        <v/>
      </c>
      <c r="AG128" t="str">
        <f ca="1">IFERROR(IF(0=LEN(ReferenceData!$AG$128),"",ReferenceData!$AG$128),"")</f>
        <v/>
      </c>
      <c r="AH128" t="str">
        <f ca="1">IFERROR(IF(0=LEN(ReferenceData!$AH$128),"",ReferenceData!$AH$128),"")</f>
        <v/>
      </c>
      <c r="AI128" t="str">
        <f ca="1">IFERROR(IF(0=LEN(ReferenceData!$AI$128),"",ReferenceData!$AI$128),"")</f>
        <v/>
      </c>
      <c r="AJ128" t="str">
        <f ca="1">IFERROR(IF(0=LEN(ReferenceData!$AJ$128),"",ReferenceData!$AJ$128),"")</f>
        <v/>
      </c>
      <c r="AK128" t="str">
        <f ca="1">IFERROR(IF(0=LEN(ReferenceData!$AK$128),"",ReferenceData!$AK$128),"")</f>
        <v/>
      </c>
      <c r="AL128" t="str">
        <f ca="1">IFERROR(IF(0=LEN(ReferenceData!$AL$128),"",ReferenceData!$AL$128),"")</f>
        <v/>
      </c>
      <c r="AM128" t="str">
        <f ca="1">IFERROR(IF(0=LEN(ReferenceData!$AM$128),"",ReferenceData!$AM$128),"")</f>
        <v/>
      </c>
      <c r="AN128" t="str">
        <f ca="1">IFERROR(IF(0=LEN(ReferenceData!$AN$128),"",ReferenceData!$AN$128),"")</f>
        <v/>
      </c>
      <c r="AO128" t="str">
        <f ca="1">IFERROR(IF(0=LEN(ReferenceData!$AO$128),"",ReferenceData!$AO$128),"")</f>
        <v/>
      </c>
      <c r="AP128" t="str">
        <f ca="1">IFERROR(IF(0=LEN(ReferenceData!$AP$128),"",ReferenceData!$AP$128),"")</f>
        <v/>
      </c>
      <c r="AQ128" t="str">
        <f ca="1">IFERROR(IF(0=LEN(ReferenceData!$AQ$128),"",ReferenceData!$AQ$128),"")</f>
        <v/>
      </c>
      <c r="AR128" t="str">
        <f ca="1">IFERROR(IF(0=LEN(ReferenceData!$AR$128),"",ReferenceData!$AR$128),"")</f>
        <v/>
      </c>
      <c r="AS128" t="str">
        <f ca="1">IFERROR(IF(0=LEN(ReferenceData!$AS$128),"",ReferenceData!$AS$128),"")</f>
        <v/>
      </c>
      <c r="AT128" t="str">
        <f ca="1">IFERROR(IF(0=LEN(ReferenceData!$AT$128),"",ReferenceData!$AT$128),"")</f>
        <v/>
      </c>
      <c r="AU128" t="str">
        <f ca="1">IFERROR(IF(0=LEN(ReferenceData!$AU$128),"",ReferenceData!$AU$128),"")</f>
        <v/>
      </c>
      <c r="AV128" t="str">
        <f ca="1">IFERROR(IF(0=LEN(ReferenceData!$AV$128),"",ReferenceData!$AV$128),"")</f>
        <v/>
      </c>
      <c r="AW128" t="str">
        <f ca="1">IFERROR(IF(0=LEN(ReferenceData!$AW$128),"",ReferenceData!$AW$128),"")</f>
        <v/>
      </c>
      <c r="AX128" t="str">
        <f ca="1">IFERROR(IF(0=LEN(ReferenceData!$AX$128),"",ReferenceData!$AX$128),"")</f>
        <v/>
      </c>
      <c r="AY128" t="str">
        <f ca="1">IFERROR(IF(0=LEN(ReferenceData!$AY$128),"",ReferenceData!$AY$128),"")</f>
        <v/>
      </c>
      <c r="AZ128" t="str">
        <f ca="1">IFERROR(IF(0=LEN(ReferenceData!$AZ$128),"",ReferenceData!$AZ$128),"")</f>
        <v/>
      </c>
      <c r="BA128" t="str">
        <f ca="1">IFERROR(IF(0=LEN(ReferenceData!$BA$128),"",ReferenceData!$BA$128),"")</f>
        <v/>
      </c>
      <c r="BB128" t="str">
        <f ca="1">IFERROR(IF(0=LEN(ReferenceData!$BB$128),"",ReferenceData!$BB$128),"")</f>
        <v/>
      </c>
      <c r="BC128" t="str">
        <f ca="1">IFERROR(IF(0=LEN(ReferenceData!$BC$128),"",ReferenceData!$BC$128),"")</f>
        <v/>
      </c>
      <c r="BD128" t="str">
        <f ca="1">IFERROR(IF(0=LEN(ReferenceData!$BD$128),"",ReferenceData!$BD$128),"")</f>
        <v/>
      </c>
      <c r="BE128" t="str">
        <f ca="1">IFERROR(IF(0=LEN(ReferenceData!$BE$128),"",ReferenceData!$BE$128),"")</f>
        <v/>
      </c>
      <c r="BF128" t="str">
        <f ca="1">IFERROR(IF(0=LEN(ReferenceData!$BF$128),"",ReferenceData!$BF$128),"")</f>
        <v/>
      </c>
      <c r="BG128" t="str">
        <f ca="1">IFERROR(IF(0=LEN(ReferenceData!$BG$128),"",ReferenceData!$BG$128),"")</f>
        <v/>
      </c>
      <c r="BH128" t="str">
        <f ca="1">IFERROR(IF(0=LEN(ReferenceData!$BH$128),"",ReferenceData!$BH$128),"")</f>
        <v/>
      </c>
      <c r="BI128" t="str">
        <f ca="1">IFERROR(IF(0=LEN(ReferenceData!$BI$128),"",ReferenceData!$BI$128),"")</f>
        <v/>
      </c>
      <c r="BJ128" t="str">
        <f ca="1">IFERROR(IF(0=LEN(ReferenceData!$BJ$128),"",ReferenceData!$BJ$128),"")</f>
        <v/>
      </c>
      <c r="BK128" t="str">
        <f ca="1">IFERROR(IF(0=LEN(ReferenceData!$BK$128),"",ReferenceData!$BK$128),"")</f>
        <v/>
      </c>
      <c r="BL128" t="str">
        <f ca="1">IFERROR(IF(0=LEN(ReferenceData!$BL$128),"",ReferenceData!$BL$128),"")</f>
        <v/>
      </c>
      <c r="BM128" t="str">
        <f ca="1">IFERROR(IF(0=LEN(ReferenceData!$BM$128),"",ReferenceData!$BM$128),"")</f>
        <v/>
      </c>
    </row>
    <row r="129" spans="1:65">
      <c r="A129" t="str">
        <f>IFERROR(IF(0=LEN(ReferenceData!$A$129),"",ReferenceData!$A$129),"")</f>
        <v xml:space="preserve">    Comerica Inc</v>
      </c>
      <c r="B129" t="str">
        <f>IFERROR(IF(0=LEN(ReferenceData!$B$129),"",ReferenceData!$B$129),"")</f>
        <v>CMA US Equity</v>
      </c>
      <c r="C129" t="str">
        <f>IFERROR(IF(0=LEN(ReferenceData!$C$129),"",ReferenceData!$C$129),"")</f>
        <v>BS965</v>
      </c>
      <c r="D129" t="str">
        <f>IFERROR(IF(0=LEN(ReferenceData!$D$129),"",ReferenceData!$D$129),"")</f>
        <v>BS_COMML_MTG_SERVICING_PORTFOLIO</v>
      </c>
      <c r="E129" t="str">
        <f>IFERROR(IF(0=LEN(ReferenceData!$E$129),"",ReferenceData!$E$129),"")</f>
        <v>Dynamic</v>
      </c>
      <c r="F129" t="str">
        <f ca="1">IFERROR(IF(0=LEN(ReferenceData!$F$129),"",ReferenceData!$F$129),"")</f>
        <v/>
      </c>
      <c r="G129" t="str">
        <f ca="1">IFERROR(IF(0=LEN(ReferenceData!$G$129),"",ReferenceData!$G$129),"")</f>
        <v/>
      </c>
      <c r="H129" t="str">
        <f ca="1">IFERROR(IF(0=LEN(ReferenceData!$H$129),"",ReferenceData!$H$129),"")</f>
        <v/>
      </c>
      <c r="I129" t="str">
        <f ca="1">IFERROR(IF(0=LEN(ReferenceData!$I$129),"",ReferenceData!$I$129),"")</f>
        <v/>
      </c>
      <c r="J129" t="str">
        <f ca="1">IFERROR(IF(0=LEN(ReferenceData!$J$129),"",ReferenceData!$J$129),"")</f>
        <v/>
      </c>
      <c r="K129" t="str">
        <f ca="1">IFERROR(IF(0=LEN(ReferenceData!$K$129),"",ReferenceData!$K$129),"")</f>
        <v/>
      </c>
      <c r="L129" t="str">
        <f ca="1">IFERROR(IF(0=LEN(ReferenceData!$L$129),"",ReferenceData!$L$129),"")</f>
        <v/>
      </c>
      <c r="M129" t="str">
        <f ca="1">IFERROR(IF(0=LEN(ReferenceData!$M$129),"",ReferenceData!$M$129),"")</f>
        <v/>
      </c>
      <c r="N129" t="str">
        <f ca="1">IFERROR(IF(0=LEN(ReferenceData!$N$129),"",ReferenceData!$N$129),"")</f>
        <v/>
      </c>
      <c r="O129" t="str">
        <f ca="1">IFERROR(IF(0=LEN(ReferenceData!$O$129),"",ReferenceData!$O$129),"")</f>
        <v/>
      </c>
      <c r="P129" t="str">
        <f ca="1">IFERROR(IF(0=LEN(ReferenceData!$P$129),"",ReferenceData!$P$129),"")</f>
        <v/>
      </c>
      <c r="Q129" t="str">
        <f ca="1">IFERROR(IF(0=LEN(ReferenceData!$Q$129),"",ReferenceData!$Q$129),"")</f>
        <v/>
      </c>
      <c r="R129" t="str">
        <f ca="1">IFERROR(IF(0=LEN(ReferenceData!$R$129),"",ReferenceData!$R$129),"")</f>
        <v/>
      </c>
      <c r="S129" t="str">
        <f ca="1">IFERROR(IF(0=LEN(ReferenceData!$S$129),"",ReferenceData!$S$129),"")</f>
        <v/>
      </c>
      <c r="T129" t="str">
        <f ca="1">IFERROR(IF(0=LEN(ReferenceData!$T$129),"",ReferenceData!$T$129),"")</f>
        <v/>
      </c>
      <c r="U129" t="str">
        <f ca="1">IFERROR(IF(0=LEN(ReferenceData!$U$129),"",ReferenceData!$U$129),"")</f>
        <v/>
      </c>
      <c r="V129" t="str">
        <f ca="1">IFERROR(IF(0=LEN(ReferenceData!$V$129),"",ReferenceData!$V$129),"")</f>
        <v/>
      </c>
      <c r="W129" t="str">
        <f ca="1">IFERROR(IF(0=LEN(ReferenceData!$W$129),"",ReferenceData!$W$129),"")</f>
        <v/>
      </c>
      <c r="X129" t="str">
        <f ca="1">IFERROR(IF(0=LEN(ReferenceData!$X$129),"",ReferenceData!$X$129),"")</f>
        <v/>
      </c>
      <c r="Y129" t="str">
        <f ca="1">IFERROR(IF(0=LEN(ReferenceData!$Y$129),"",ReferenceData!$Y$129),"")</f>
        <v/>
      </c>
      <c r="Z129" t="str">
        <f ca="1">IFERROR(IF(0=LEN(ReferenceData!$Z$129),"",ReferenceData!$Z$129),"")</f>
        <v/>
      </c>
      <c r="AA129" t="str">
        <f ca="1">IFERROR(IF(0=LEN(ReferenceData!$AA$129),"",ReferenceData!$AA$129),"")</f>
        <v/>
      </c>
      <c r="AB129" t="str">
        <f ca="1">IFERROR(IF(0=LEN(ReferenceData!$AB$129),"",ReferenceData!$AB$129),"")</f>
        <v/>
      </c>
      <c r="AC129" t="str">
        <f ca="1">IFERROR(IF(0=LEN(ReferenceData!$AC$129),"",ReferenceData!$AC$129),"")</f>
        <v/>
      </c>
      <c r="AD129" t="str">
        <f ca="1">IFERROR(IF(0=LEN(ReferenceData!$AD$129),"",ReferenceData!$AD$129),"")</f>
        <v/>
      </c>
      <c r="AE129" t="str">
        <f ca="1">IFERROR(IF(0=LEN(ReferenceData!$AE$129),"",ReferenceData!$AE$129),"")</f>
        <v/>
      </c>
      <c r="AF129" t="str">
        <f ca="1">IFERROR(IF(0=LEN(ReferenceData!$AF$129),"",ReferenceData!$AF$129),"")</f>
        <v/>
      </c>
      <c r="AG129" t="str">
        <f ca="1">IFERROR(IF(0=LEN(ReferenceData!$AG$129),"",ReferenceData!$AG$129),"")</f>
        <v/>
      </c>
      <c r="AH129" t="str">
        <f ca="1">IFERROR(IF(0=LEN(ReferenceData!$AH$129),"",ReferenceData!$AH$129),"")</f>
        <v/>
      </c>
      <c r="AI129" t="str">
        <f ca="1">IFERROR(IF(0=LEN(ReferenceData!$AI$129),"",ReferenceData!$AI$129),"")</f>
        <v/>
      </c>
      <c r="AJ129" t="str">
        <f ca="1">IFERROR(IF(0=LEN(ReferenceData!$AJ$129),"",ReferenceData!$AJ$129),"")</f>
        <v/>
      </c>
      <c r="AK129" t="str">
        <f ca="1">IFERROR(IF(0=LEN(ReferenceData!$AK$129),"",ReferenceData!$AK$129),"")</f>
        <v/>
      </c>
      <c r="AL129" t="str">
        <f ca="1">IFERROR(IF(0=LEN(ReferenceData!$AL$129),"",ReferenceData!$AL$129),"")</f>
        <v/>
      </c>
      <c r="AM129" t="str">
        <f ca="1">IFERROR(IF(0=LEN(ReferenceData!$AM$129),"",ReferenceData!$AM$129),"")</f>
        <v/>
      </c>
      <c r="AN129" t="str">
        <f ca="1">IFERROR(IF(0=LEN(ReferenceData!$AN$129),"",ReferenceData!$AN$129),"")</f>
        <v/>
      </c>
      <c r="AO129" t="str">
        <f ca="1">IFERROR(IF(0=LEN(ReferenceData!$AO$129),"",ReferenceData!$AO$129),"")</f>
        <v/>
      </c>
      <c r="AP129" t="str">
        <f ca="1">IFERROR(IF(0=LEN(ReferenceData!$AP$129),"",ReferenceData!$AP$129),"")</f>
        <v/>
      </c>
      <c r="AQ129" t="str">
        <f ca="1">IFERROR(IF(0=LEN(ReferenceData!$AQ$129),"",ReferenceData!$AQ$129),"")</f>
        <v/>
      </c>
      <c r="AR129" t="str">
        <f ca="1">IFERROR(IF(0=LEN(ReferenceData!$AR$129),"",ReferenceData!$AR$129),"")</f>
        <v/>
      </c>
      <c r="AS129" t="str">
        <f ca="1">IFERROR(IF(0=LEN(ReferenceData!$AS$129),"",ReferenceData!$AS$129),"")</f>
        <v/>
      </c>
      <c r="AT129" t="str">
        <f ca="1">IFERROR(IF(0=LEN(ReferenceData!$AT$129),"",ReferenceData!$AT$129),"")</f>
        <v/>
      </c>
      <c r="AU129" t="str">
        <f ca="1">IFERROR(IF(0=LEN(ReferenceData!$AU$129),"",ReferenceData!$AU$129),"")</f>
        <v/>
      </c>
      <c r="AV129" t="str">
        <f ca="1">IFERROR(IF(0=LEN(ReferenceData!$AV$129),"",ReferenceData!$AV$129),"")</f>
        <v/>
      </c>
      <c r="AW129" t="str">
        <f ca="1">IFERROR(IF(0=LEN(ReferenceData!$AW$129),"",ReferenceData!$AW$129),"")</f>
        <v/>
      </c>
      <c r="AX129" t="str">
        <f ca="1">IFERROR(IF(0=LEN(ReferenceData!$AX$129),"",ReferenceData!$AX$129),"")</f>
        <v/>
      </c>
      <c r="AY129" t="str">
        <f ca="1">IFERROR(IF(0=LEN(ReferenceData!$AY$129),"",ReferenceData!$AY$129),"")</f>
        <v/>
      </c>
      <c r="AZ129" t="str">
        <f ca="1">IFERROR(IF(0=LEN(ReferenceData!$AZ$129),"",ReferenceData!$AZ$129),"")</f>
        <v/>
      </c>
      <c r="BA129" t="str">
        <f ca="1">IFERROR(IF(0=LEN(ReferenceData!$BA$129),"",ReferenceData!$BA$129),"")</f>
        <v/>
      </c>
      <c r="BB129" t="str">
        <f ca="1">IFERROR(IF(0=LEN(ReferenceData!$BB$129),"",ReferenceData!$BB$129),"")</f>
        <v/>
      </c>
      <c r="BC129" t="str">
        <f ca="1">IFERROR(IF(0=LEN(ReferenceData!$BC$129),"",ReferenceData!$BC$129),"")</f>
        <v/>
      </c>
      <c r="BD129" t="str">
        <f ca="1">IFERROR(IF(0=LEN(ReferenceData!$BD$129),"",ReferenceData!$BD$129),"")</f>
        <v/>
      </c>
      <c r="BE129" t="str">
        <f ca="1">IFERROR(IF(0=LEN(ReferenceData!$BE$129),"",ReferenceData!$BE$129),"")</f>
        <v/>
      </c>
      <c r="BF129" t="str">
        <f ca="1">IFERROR(IF(0=LEN(ReferenceData!$BF$129),"",ReferenceData!$BF$129),"")</f>
        <v/>
      </c>
      <c r="BG129" t="str">
        <f ca="1">IFERROR(IF(0=LEN(ReferenceData!$BG$129),"",ReferenceData!$BG$129),"")</f>
        <v/>
      </c>
      <c r="BH129" t="str">
        <f ca="1">IFERROR(IF(0=LEN(ReferenceData!$BH$129),"",ReferenceData!$BH$129),"")</f>
        <v/>
      </c>
      <c r="BI129" t="str">
        <f ca="1">IFERROR(IF(0=LEN(ReferenceData!$BI$129),"",ReferenceData!$BI$129),"")</f>
        <v/>
      </c>
      <c r="BJ129" t="str">
        <f ca="1">IFERROR(IF(0=LEN(ReferenceData!$BJ$129),"",ReferenceData!$BJ$129),"")</f>
        <v/>
      </c>
      <c r="BK129" t="str">
        <f ca="1">IFERROR(IF(0=LEN(ReferenceData!$BK$129),"",ReferenceData!$BK$129),"")</f>
        <v/>
      </c>
      <c r="BL129" t="str">
        <f ca="1">IFERROR(IF(0=LEN(ReferenceData!$BL$129),"",ReferenceData!$BL$129),"")</f>
        <v/>
      </c>
      <c r="BM129" t="str">
        <f ca="1">IFERROR(IF(0=LEN(ReferenceData!$BM$129),"",ReferenceData!$BM$129),"")</f>
        <v/>
      </c>
    </row>
    <row r="130" spans="1:65">
      <c r="A130" t="str">
        <f>IFERROR(IF(0=LEN(ReferenceData!$A$130),"",ReferenceData!$A$130),"")</f>
        <v xml:space="preserve">    East West Bancorp Inc</v>
      </c>
      <c r="B130" t="str">
        <f>IFERROR(IF(0=LEN(ReferenceData!$B$130),"",ReferenceData!$B$130),"")</f>
        <v>EWBC US Equity</v>
      </c>
      <c r="C130" t="str">
        <f>IFERROR(IF(0=LEN(ReferenceData!$C$130),"",ReferenceData!$C$130),"")</f>
        <v>BS965</v>
      </c>
      <c r="D130" t="str">
        <f>IFERROR(IF(0=LEN(ReferenceData!$D$130),"",ReferenceData!$D$130),"")</f>
        <v>BS_COMML_MTG_SERVICING_PORTFOLIO</v>
      </c>
      <c r="E130" t="str">
        <f>IFERROR(IF(0=LEN(ReferenceData!$E$130),"",ReferenceData!$E$130),"")</f>
        <v>Dynamic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 t="str">
        <f ca="1">IFERROR(IF(0=LEN(ReferenceData!$J$130),"",ReferenceData!$J$130),"")</f>
        <v/>
      </c>
      <c r="K130" t="str">
        <f ca="1">IFERROR(IF(0=LEN(ReferenceData!$K$130),"",ReferenceData!$K$130),"")</f>
        <v/>
      </c>
      <c r="L130" t="str">
        <f ca="1">IFERROR(IF(0=LEN(ReferenceData!$L$130),"",ReferenceData!$L$130),"")</f>
        <v/>
      </c>
      <c r="M130" t="str">
        <f ca="1">IFERROR(IF(0=LEN(ReferenceData!$M$130),"",ReferenceData!$M$130),"")</f>
        <v/>
      </c>
      <c r="N130" t="str">
        <f ca="1">IFERROR(IF(0=LEN(ReferenceData!$N$130),"",ReferenceData!$N$130),"")</f>
        <v/>
      </c>
      <c r="O130" t="str">
        <f ca="1">IFERROR(IF(0=LEN(ReferenceData!$O$130),"",ReferenceData!$O$130),"")</f>
        <v/>
      </c>
      <c r="P130" t="str">
        <f ca="1">IFERROR(IF(0=LEN(ReferenceData!$P$130),"",ReferenceData!$P$130),"")</f>
        <v/>
      </c>
      <c r="Q130" t="str">
        <f ca="1">IFERROR(IF(0=LEN(ReferenceData!$Q$130),"",ReferenceData!$Q$130),"")</f>
        <v/>
      </c>
      <c r="R130" t="str">
        <f ca="1">IFERROR(IF(0=LEN(ReferenceData!$R$130),"",ReferenceData!$R$130),"")</f>
        <v/>
      </c>
      <c r="S130" t="str">
        <f ca="1">IFERROR(IF(0=LEN(ReferenceData!$S$130),"",ReferenceData!$S$130),"")</f>
        <v/>
      </c>
      <c r="T130" t="str">
        <f ca="1">IFERROR(IF(0=LEN(ReferenceData!$T$130),"",ReferenceData!$T$130),"")</f>
        <v/>
      </c>
      <c r="U130" t="str">
        <f ca="1">IFERROR(IF(0=LEN(ReferenceData!$U$130),"",ReferenceData!$U$130),"")</f>
        <v/>
      </c>
      <c r="V130" t="str">
        <f ca="1">IFERROR(IF(0=LEN(ReferenceData!$V$130),"",ReferenceData!$V$130),"")</f>
        <v/>
      </c>
      <c r="W130" t="str">
        <f ca="1">IFERROR(IF(0=LEN(ReferenceData!$W$130),"",ReferenceData!$W$130),"")</f>
        <v/>
      </c>
      <c r="X130" t="str">
        <f ca="1">IFERROR(IF(0=LEN(ReferenceData!$X$130),"",ReferenceData!$X$130),"")</f>
        <v/>
      </c>
      <c r="Y130" t="str">
        <f ca="1">IFERROR(IF(0=LEN(ReferenceData!$Y$130),"",ReferenceData!$Y$130),"")</f>
        <v/>
      </c>
      <c r="Z130" t="str">
        <f ca="1">IFERROR(IF(0=LEN(ReferenceData!$Z$130),"",ReferenceData!$Z$130),"")</f>
        <v/>
      </c>
      <c r="AA130" t="str">
        <f ca="1">IFERROR(IF(0=LEN(ReferenceData!$AA$130),"",ReferenceData!$AA$130),"")</f>
        <v/>
      </c>
      <c r="AB130" t="str">
        <f ca="1">IFERROR(IF(0=LEN(ReferenceData!$AB$130),"",ReferenceData!$AB$130),"")</f>
        <v/>
      </c>
      <c r="AC130" t="str">
        <f ca="1">IFERROR(IF(0=LEN(ReferenceData!$AC$130),"",ReferenceData!$AC$130),"")</f>
        <v/>
      </c>
      <c r="AD130" t="str">
        <f ca="1">IFERROR(IF(0=LEN(ReferenceData!$AD$130),"",ReferenceData!$AD$130),"")</f>
        <v/>
      </c>
      <c r="AE130" t="str">
        <f ca="1">IFERROR(IF(0=LEN(ReferenceData!$AE$130),"",ReferenceData!$AE$130),"")</f>
        <v/>
      </c>
      <c r="AF130" t="str">
        <f ca="1">IFERROR(IF(0=LEN(ReferenceData!$AF$130),"",ReferenceData!$AF$130),"")</f>
        <v/>
      </c>
      <c r="AG130" t="str">
        <f ca="1">IFERROR(IF(0=LEN(ReferenceData!$AG$130),"",ReferenceData!$AG$130),"")</f>
        <v/>
      </c>
      <c r="AH130" t="str">
        <f ca="1">IFERROR(IF(0=LEN(ReferenceData!$AH$130),"",ReferenceData!$AH$130),"")</f>
        <v/>
      </c>
      <c r="AI130" t="str">
        <f ca="1">IFERROR(IF(0=LEN(ReferenceData!$AI$130),"",ReferenceData!$AI$130),"")</f>
        <v/>
      </c>
      <c r="AJ130" t="str">
        <f ca="1">IFERROR(IF(0=LEN(ReferenceData!$AJ$130),"",ReferenceData!$AJ$130),"")</f>
        <v/>
      </c>
      <c r="AK130" t="str">
        <f ca="1">IFERROR(IF(0=LEN(ReferenceData!$AK$130),"",ReferenceData!$AK$130),"")</f>
        <v/>
      </c>
      <c r="AL130" t="str">
        <f ca="1">IFERROR(IF(0=LEN(ReferenceData!$AL$130),"",ReferenceData!$AL$130),"")</f>
        <v/>
      </c>
      <c r="AM130" t="str">
        <f ca="1">IFERROR(IF(0=LEN(ReferenceData!$AM$130),"",ReferenceData!$AM$130),"")</f>
        <v/>
      </c>
      <c r="AN130" t="str">
        <f ca="1">IFERROR(IF(0=LEN(ReferenceData!$AN$130),"",ReferenceData!$AN$130),"")</f>
        <v/>
      </c>
      <c r="AO130" t="str">
        <f ca="1">IFERROR(IF(0=LEN(ReferenceData!$AO$130),"",ReferenceData!$AO$130),"")</f>
        <v/>
      </c>
      <c r="AP130" t="str">
        <f ca="1">IFERROR(IF(0=LEN(ReferenceData!$AP$130),"",ReferenceData!$AP$130),"")</f>
        <v/>
      </c>
      <c r="AQ130" t="str">
        <f ca="1">IFERROR(IF(0=LEN(ReferenceData!$AQ$130),"",ReferenceData!$AQ$130),"")</f>
        <v/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  <c r="AT130" t="str">
        <f ca="1">IFERROR(IF(0=LEN(ReferenceData!$AT$130),"",ReferenceData!$AT$130),"")</f>
        <v/>
      </c>
      <c r="AU130" t="str">
        <f ca="1">IFERROR(IF(0=LEN(ReferenceData!$AU$130),"",ReferenceData!$AU$130),"")</f>
        <v/>
      </c>
      <c r="AV130" t="str">
        <f ca="1">IFERROR(IF(0=LEN(ReferenceData!$AV$130),"",ReferenceData!$AV$130),"")</f>
        <v/>
      </c>
      <c r="AW130" t="str">
        <f ca="1">IFERROR(IF(0=LEN(ReferenceData!$AW$130),"",ReferenceData!$AW$130),"")</f>
        <v/>
      </c>
      <c r="AX130" t="str">
        <f ca="1">IFERROR(IF(0=LEN(ReferenceData!$AX$130),"",ReferenceData!$AX$130),"")</f>
        <v/>
      </c>
      <c r="AY130" t="str">
        <f ca="1">IFERROR(IF(0=LEN(ReferenceData!$AY$130),"",ReferenceData!$AY$130),"")</f>
        <v/>
      </c>
      <c r="AZ130" t="str">
        <f ca="1">IFERROR(IF(0=LEN(ReferenceData!$AZ$130),"",ReferenceData!$AZ$130),"")</f>
        <v/>
      </c>
      <c r="BA130" t="str">
        <f ca="1">IFERROR(IF(0=LEN(ReferenceData!$BA$130),"",ReferenceData!$BA$130),"")</f>
        <v/>
      </c>
      <c r="BB130" t="str">
        <f ca="1">IFERROR(IF(0=LEN(ReferenceData!$BB$130),"",ReferenceData!$BB$130),"")</f>
        <v/>
      </c>
      <c r="BC130" t="str">
        <f ca="1">IFERROR(IF(0=LEN(ReferenceData!$BC$130),"",ReferenceData!$BC$130),"")</f>
        <v/>
      </c>
      <c r="BD130" t="str">
        <f ca="1">IFERROR(IF(0=LEN(ReferenceData!$BD$130),"",ReferenceData!$BD$130),"")</f>
        <v/>
      </c>
      <c r="BE130" t="str">
        <f ca="1">IFERROR(IF(0=LEN(ReferenceData!$BE$130),"",ReferenceData!$BE$130),"")</f>
        <v/>
      </c>
      <c r="BF130" t="str">
        <f ca="1">IFERROR(IF(0=LEN(ReferenceData!$BF$130),"",ReferenceData!$BF$130),"")</f>
        <v/>
      </c>
      <c r="BG130" t="str">
        <f ca="1">IFERROR(IF(0=LEN(ReferenceData!$BG$130),"",ReferenceData!$BG$130),"")</f>
        <v/>
      </c>
      <c r="BH130" t="str">
        <f ca="1">IFERROR(IF(0=LEN(ReferenceData!$BH$130),"",ReferenceData!$BH$130),"")</f>
        <v/>
      </c>
      <c r="BI130" t="str">
        <f ca="1">IFERROR(IF(0=LEN(ReferenceData!$BI$130),"",ReferenceData!$BI$130),"")</f>
        <v/>
      </c>
      <c r="BJ130" t="str">
        <f ca="1">IFERROR(IF(0=LEN(ReferenceData!$BJ$130),"",ReferenceData!$BJ$130),"")</f>
        <v/>
      </c>
      <c r="BK130" t="str">
        <f ca="1">IFERROR(IF(0=LEN(ReferenceData!$BK$130),"",ReferenceData!$BK$130),"")</f>
        <v/>
      </c>
      <c r="BL130" t="str">
        <f ca="1">IFERROR(IF(0=LEN(ReferenceData!$BL$130),"",ReferenceData!$BL$130),"")</f>
        <v/>
      </c>
      <c r="BM130" t="str">
        <f ca="1">IFERROR(IF(0=LEN(ReferenceData!$BM$130),"",ReferenceData!$BM$130),"")</f>
        <v/>
      </c>
    </row>
    <row r="131" spans="1:65">
      <c r="A131" t="str">
        <f>IFERROR(IF(0=LEN(ReferenceData!$A$131),"",ReferenceData!$A$131),"")</f>
        <v xml:space="preserve">    First Horizon Corp</v>
      </c>
      <c r="B131" t="str">
        <f>IFERROR(IF(0=LEN(ReferenceData!$B$131),"",ReferenceData!$B$131),"")</f>
        <v>FHN US Equity</v>
      </c>
      <c r="C131" t="str">
        <f>IFERROR(IF(0=LEN(ReferenceData!$C$131),"",ReferenceData!$C$131),"")</f>
        <v>BS965</v>
      </c>
      <c r="D131" t="str">
        <f>IFERROR(IF(0=LEN(ReferenceData!$D$131),"",ReferenceData!$D$131),"")</f>
        <v>BS_COMML_MTG_SERVICING_PORTFOLIO</v>
      </c>
      <c r="E131" t="str">
        <f>IFERROR(IF(0=LEN(ReferenceData!$E$131),"",ReferenceData!$E$131),"")</f>
        <v>Dynamic</v>
      </c>
      <c r="F131" t="str">
        <f ca="1">IFERROR(IF(0=LEN(ReferenceData!$F$131),"",ReferenceData!$F$131),"")</f>
        <v/>
      </c>
      <c r="G131" t="str">
        <f ca="1">IFERROR(IF(0=LEN(ReferenceData!$G$131),"",ReferenceData!$G$131),"")</f>
        <v/>
      </c>
      <c r="H131" t="str">
        <f ca="1">IFERROR(IF(0=LEN(ReferenceData!$H$131),"",ReferenceData!$H$131),"")</f>
        <v/>
      </c>
      <c r="I131" t="str">
        <f ca="1">IFERROR(IF(0=LEN(ReferenceData!$I$131),"",ReferenceData!$I$131),"")</f>
        <v/>
      </c>
      <c r="J131" t="str">
        <f ca="1">IFERROR(IF(0=LEN(ReferenceData!$J$131),"",ReferenceData!$J$131),"")</f>
        <v/>
      </c>
      <c r="K131" t="str">
        <f ca="1">IFERROR(IF(0=LEN(ReferenceData!$K$131),"",ReferenceData!$K$131),"")</f>
        <v/>
      </c>
      <c r="L131" t="str">
        <f ca="1">IFERROR(IF(0=LEN(ReferenceData!$L$131),"",ReferenceData!$L$131),"")</f>
        <v/>
      </c>
      <c r="M131" t="str">
        <f ca="1">IFERROR(IF(0=LEN(ReferenceData!$M$131),"",ReferenceData!$M$131),"")</f>
        <v/>
      </c>
      <c r="N131" t="str">
        <f ca="1">IFERROR(IF(0=LEN(ReferenceData!$N$131),"",ReferenceData!$N$131),"")</f>
        <v/>
      </c>
      <c r="O131" t="str">
        <f ca="1">IFERROR(IF(0=LEN(ReferenceData!$O$131),"",ReferenceData!$O$131),"")</f>
        <v/>
      </c>
      <c r="P131" t="str">
        <f ca="1">IFERROR(IF(0=LEN(ReferenceData!$P$131),"",ReferenceData!$P$131),"")</f>
        <v/>
      </c>
      <c r="Q131" t="str">
        <f ca="1">IFERROR(IF(0=LEN(ReferenceData!$Q$131),"",ReferenceData!$Q$131),"")</f>
        <v/>
      </c>
      <c r="R131" t="str">
        <f ca="1">IFERROR(IF(0=LEN(ReferenceData!$R$131),"",ReferenceData!$R$131),"")</f>
        <v/>
      </c>
      <c r="S131" t="str">
        <f ca="1">IFERROR(IF(0=LEN(ReferenceData!$S$131),"",ReferenceData!$S$131),"")</f>
        <v/>
      </c>
      <c r="T131" t="str">
        <f ca="1">IFERROR(IF(0=LEN(ReferenceData!$T$131),"",ReferenceData!$T$131),"")</f>
        <v/>
      </c>
      <c r="U131" t="str">
        <f ca="1">IFERROR(IF(0=LEN(ReferenceData!$U$131),"",ReferenceData!$U$131),"")</f>
        <v/>
      </c>
      <c r="V131" t="str">
        <f ca="1">IFERROR(IF(0=LEN(ReferenceData!$V$131),"",ReferenceData!$V$131),"")</f>
        <v/>
      </c>
      <c r="W131" t="str">
        <f ca="1">IFERROR(IF(0=LEN(ReferenceData!$W$131),"",ReferenceData!$W$131),"")</f>
        <v/>
      </c>
      <c r="X131" t="str">
        <f ca="1">IFERROR(IF(0=LEN(ReferenceData!$X$131),"",ReferenceData!$X$131),"")</f>
        <v/>
      </c>
      <c r="Y131" t="str">
        <f ca="1">IFERROR(IF(0=LEN(ReferenceData!$Y$131),"",ReferenceData!$Y$131),"")</f>
        <v/>
      </c>
      <c r="Z131" t="str">
        <f ca="1">IFERROR(IF(0=LEN(ReferenceData!$Z$131),"",ReferenceData!$Z$131),"")</f>
        <v/>
      </c>
      <c r="AA131" t="str">
        <f ca="1">IFERROR(IF(0=LEN(ReferenceData!$AA$131),"",ReferenceData!$AA$131),"")</f>
        <v/>
      </c>
      <c r="AB131" t="str">
        <f ca="1">IFERROR(IF(0=LEN(ReferenceData!$AB$131),"",ReferenceData!$AB$131),"")</f>
        <v/>
      </c>
      <c r="AC131" t="str">
        <f ca="1">IFERROR(IF(0=LEN(ReferenceData!$AC$131),"",ReferenceData!$AC$131),"")</f>
        <v/>
      </c>
      <c r="AD131" t="str">
        <f ca="1">IFERROR(IF(0=LEN(ReferenceData!$AD$131),"",ReferenceData!$AD$131),"")</f>
        <v/>
      </c>
      <c r="AE131" t="str">
        <f ca="1">IFERROR(IF(0=LEN(ReferenceData!$AE$131),"",ReferenceData!$AE$131),"")</f>
        <v/>
      </c>
      <c r="AF131" t="str">
        <f ca="1">IFERROR(IF(0=LEN(ReferenceData!$AF$131),"",ReferenceData!$AF$131),"")</f>
        <v/>
      </c>
      <c r="AG131" t="str">
        <f ca="1">IFERROR(IF(0=LEN(ReferenceData!$AG$131),"",ReferenceData!$AG$131),"")</f>
        <v/>
      </c>
      <c r="AH131" t="str">
        <f ca="1">IFERROR(IF(0=LEN(ReferenceData!$AH$131),"",ReferenceData!$AH$131),"")</f>
        <v/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 t="str">
        <f ca="1">IFERROR(IF(0=LEN(ReferenceData!$AL$131),"",ReferenceData!$AL$131),"")</f>
        <v/>
      </c>
      <c r="AM131" t="str">
        <f ca="1">IFERROR(IF(0=LEN(ReferenceData!$AM$131),"",ReferenceData!$AM$131),"")</f>
        <v/>
      </c>
      <c r="AN131" t="str">
        <f ca="1">IFERROR(IF(0=LEN(ReferenceData!$AN$131),"",ReferenceData!$AN$131),"")</f>
        <v/>
      </c>
      <c r="AO131" t="str">
        <f ca="1">IFERROR(IF(0=LEN(ReferenceData!$AO$131),"",ReferenceData!$AO$131),"")</f>
        <v/>
      </c>
      <c r="AP131" t="str">
        <f ca="1">IFERROR(IF(0=LEN(ReferenceData!$AP$131),"",ReferenceData!$AP$131),"")</f>
        <v/>
      </c>
      <c r="AQ131" t="str">
        <f ca="1">IFERROR(IF(0=LEN(ReferenceData!$AQ$131),"",ReferenceData!$AQ$131),"")</f>
        <v/>
      </c>
      <c r="AR131" t="str">
        <f ca="1">IFERROR(IF(0=LEN(ReferenceData!$AR$131),"",ReferenceData!$AR$131),"")</f>
        <v/>
      </c>
      <c r="AS131" t="str">
        <f ca="1">IFERROR(IF(0=LEN(ReferenceData!$AS$131),"",ReferenceData!$AS$131),"")</f>
        <v/>
      </c>
      <c r="AT131" t="str">
        <f ca="1">IFERROR(IF(0=LEN(ReferenceData!$AT$131),"",ReferenceData!$AT$131),"")</f>
        <v/>
      </c>
      <c r="AU131" t="str">
        <f ca="1">IFERROR(IF(0=LEN(ReferenceData!$AU$131),"",ReferenceData!$AU$131),"")</f>
        <v/>
      </c>
      <c r="AV131" t="str">
        <f ca="1">IFERROR(IF(0=LEN(ReferenceData!$AV$131),"",ReferenceData!$AV$131),"")</f>
        <v/>
      </c>
      <c r="AW131" t="str">
        <f ca="1">IFERROR(IF(0=LEN(ReferenceData!$AW$131),"",ReferenceData!$AW$131),"")</f>
        <v/>
      </c>
      <c r="AX131" t="str">
        <f ca="1">IFERROR(IF(0=LEN(ReferenceData!$AX$131),"",ReferenceData!$AX$131),"")</f>
        <v/>
      </c>
      <c r="AY131" t="str">
        <f ca="1">IFERROR(IF(0=LEN(ReferenceData!$AY$131),"",ReferenceData!$AY$131),"")</f>
        <v/>
      </c>
      <c r="AZ131" t="str">
        <f ca="1">IFERROR(IF(0=LEN(ReferenceData!$AZ$131),"",ReferenceData!$AZ$131),"")</f>
        <v/>
      </c>
      <c r="BA131" t="str">
        <f ca="1">IFERROR(IF(0=LEN(ReferenceData!$BA$131),"",ReferenceData!$BA$131),"")</f>
        <v/>
      </c>
      <c r="BB131" t="str">
        <f ca="1">IFERROR(IF(0=LEN(ReferenceData!$BB$131),"",ReferenceData!$BB$131),"")</f>
        <v/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>
      <c r="A132" t="str">
        <f>IFERROR(IF(0=LEN(ReferenceData!$A$132),"",ReferenceData!$A$132),"")</f>
        <v xml:space="preserve">    First Republic Bank/CA</v>
      </c>
      <c r="B132" t="str">
        <f>IFERROR(IF(0=LEN(ReferenceData!$B$132),"",ReferenceData!$B$132),"")</f>
        <v>FRCB US Equity</v>
      </c>
      <c r="C132" t="str">
        <f>IFERROR(IF(0=LEN(ReferenceData!$C$132),"",ReferenceData!$C$132),"")</f>
        <v>BS965</v>
      </c>
      <c r="D132" t="str">
        <f>IFERROR(IF(0=LEN(ReferenceData!$D$132),"",ReferenceData!$D$132),"")</f>
        <v>BS_COMML_MTG_SERVICING_PORTFOLIO</v>
      </c>
      <c r="E132" t="str">
        <f>IFERROR(IF(0=LEN(ReferenceData!$E$132),"",ReferenceData!$E$132),"")</f>
        <v>Dynamic</v>
      </c>
      <c r="F132" t="str">
        <f ca="1">IFERROR(IF(0=LEN(ReferenceData!$F$132),"",ReferenceData!$F$132),"")</f>
        <v/>
      </c>
      <c r="G132" t="str">
        <f ca="1">IFERROR(IF(0=LEN(ReferenceData!$G$132),"",ReferenceData!$G$132),"")</f>
        <v/>
      </c>
      <c r="H132" t="str">
        <f ca="1">IFERROR(IF(0=LEN(ReferenceData!$H$132),"",ReferenceData!$H$132),"")</f>
        <v/>
      </c>
      <c r="I132" t="str">
        <f ca="1">IFERROR(IF(0=LEN(ReferenceData!$I$132),"",ReferenceData!$I$132),"")</f>
        <v/>
      </c>
      <c r="J132" t="str">
        <f ca="1">IFERROR(IF(0=LEN(ReferenceData!$J$132),"",ReferenceData!$J$132),"")</f>
        <v/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 t="str">
        <f ca="1">IFERROR(IF(0=LEN(ReferenceData!$N$132),"",ReferenceData!$N$132),"")</f>
        <v/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 t="str">
        <f ca="1">IFERROR(IF(0=LEN(ReferenceData!$R$132),"",ReferenceData!$R$132),"")</f>
        <v/>
      </c>
      <c r="S132" t="str">
        <f ca="1">IFERROR(IF(0=LEN(ReferenceData!$S$132),"",ReferenceData!$S$132),"")</f>
        <v/>
      </c>
      <c r="T132" t="str">
        <f ca="1">IFERROR(IF(0=LEN(ReferenceData!$T$132),"",ReferenceData!$T$132),"")</f>
        <v/>
      </c>
      <c r="U132" t="str">
        <f ca="1">IFERROR(IF(0=LEN(ReferenceData!$U$132),"",ReferenceData!$U$132),"")</f>
        <v/>
      </c>
      <c r="V132" t="str">
        <f ca="1">IFERROR(IF(0=LEN(ReferenceData!$V$132),"",ReferenceData!$V$132),"")</f>
        <v/>
      </c>
      <c r="W132" t="str">
        <f ca="1">IFERROR(IF(0=LEN(ReferenceData!$W$132),"",ReferenceData!$W$132),"")</f>
        <v/>
      </c>
      <c r="X132" t="str">
        <f ca="1">IFERROR(IF(0=LEN(ReferenceData!$X$132),"",ReferenceData!$X$132),"")</f>
        <v/>
      </c>
      <c r="Y132" t="str">
        <f ca="1">IFERROR(IF(0=LEN(ReferenceData!$Y$132),"",ReferenceData!$Y$132),"")</f>
        <v/>
      </c>
      <c r="Z132" t="str">
        <f ca="1">IFERROR(IF(0=LEN(ReferenceData!$Z$132),"",ReferenceData!$Z$132),"")</f>
        <v/>
      </c>
      <c r="AA132" t="str">
        <f ca="1">IFERROR(IF(0=LEN(ReferenceData!$AA$132),"",ReferenceData!$AA$132),"")</f>
        <v/>
      </c>
      <c r="AB132" t="str">
        <f ca="1">IFERROR(IF(0=LEN(ReferenceData!$AB$132),"",ReferenceData!$AB$132),"")</f>
        <v/>
      </c>
      <c r="AC132" t="str">
        <f ca="1">IFERROR(IF(0=LEN(ReferenceData!$AC$132),"",ReferenceData!$AC$132),"")</f>
        <v/>
      </c>
      <c r="AD132" t="str">
        <f ca="1">IFERROR(IF(0=LEN(ReferenceData!$AD$132),"",ReferenceData!$AD$132),"")</f>
        <v/>
      </c>
      <c r="AE132" t="str">
        <f ca="1">IFERROR(IF(0=LEN(ReferenceData!$AE$132),"",ReferenceData!$AE$132),"")</f>
        <v/>
      </c>
      <c r="AF132" t="str">
        <f ca="1">IFERROR(IF(0=LEN(ReferenceData!$AF$132),"",ReferenceData!$AF$132),"")</f>
        <v/>
      </c>
      <c r="AG132" t="str">
        <f ca="1">IFERROR(IF(0=LEN(ReferenceData!$AG$132),"",ReferenceData!$AG$132),"")</f>
        <v/>
      </c>
      <c r="AH132" t="str">
        <f ca="1">IFERROR(IF(0=LEN(ReferenceData!$AH$132),"",ReferenceData!$AH$132),"")</f>
        <v/>
      </c>
      <c r="AI132" t="str">
        <f ca="1">IFERROR(IF(0=LEN(ReferenceData!$AI$132),"",ReferenceData!$AI$132),"")</f>
        <v/>
      </c>
      <c r="AJ132" t="str">
        <f ca="1">IFERROR(IF(0=LEN(ReferenceData!$AJ$132),"",ReferenceData!$AJ$132),"")</f>
        <v/>
      </c>
      <c r="AK132" t="str">
        <f ca="1">IFERROR(IF(0=LEN(ReferenceData!$AK$132),"",ReferenceData!$AK$132),"")</f>
        <v/>
      </c>
      <c r="AL132" t="str">
        <f ca="1">IFERROR(IF(0=LEN(ReferenceData!$AL$132),"",ReferenceData!$AL$132),"")</f>
        <v/>
      </c>
      <c r="AM132" t="str">
        <f ca="1">IFERROR(IF(0=LEN(ReferenceData!$AM$132),"",ReferenceData!$AM$132),"")</f>
        <v/>
      </c>
      <c r="AN132" t="str">
        <f ca="1">IFERROR(IF(0=LEN(ReferenceData!$AN$132),"",ReferenceData!$AN$132),"")</f>
        <v/>
      </c>
      <c r="AO132" t="str">
        <f ca="1">IFERROR(IF(0=LEN(ReferenceData!$AO$132),"",ReferenceData!$AO$132),"")</f>
        <v/>
      </c>
      <c r="AP132" t="str">
        <f ca="1">IFERROR(IF(0=LEN(ReferenceData!$AP$132),"",ReferenceData!$AP$132),"")</f>
        <v/>
      </c>
      <c r="AQ132" t="str">
        <f ca="1">IFERROR(IF(0=LEN(ReferenceData!$AQ$132),"",ReferenceData!$AQ$132),"")</f>
        <v/>
      </c>
      <c r="AR132" t="str">
        <f ca="1">IFERROR(IF(0=LEN(ReferenceData!$AR$132),"",ReferenceData!$AR$132),"")</f>
        <v/>
      </c>
      <c r="AS132" t="str">
        <f ca="1">IFERROR(IF(0=LEN(ReferenceData!$AS$132),"",ReferenceData!$AS$132),"")</f>
        <v/>
      </c>
      <c r="AT132" t="str">
        <f ca="1">IFERROR(IF(0=LEN(ReferenceData!$AT$132),"",ReferenceData!$AT$132),"")</f>
        <v/>
      </c>
      <c r="AU132" t="str">
        <f ca="1">IFERROR(IF(0=LEN(ReferenceData!$AU$132),"",ReferenceData!$AU$132),"")</f>
        <v/>
      </c>
      <c r="AV132" t="str">
        <f ca="1">IFERROR(IF(0=LEN(ReferenceData!$AV$132),"",ReferenceData!$AV$132),"")</f>
        <v/>
      </c>
      <c r="AW132" t="str">
        <f ca="1">IFERROR(IF(0=LEN(ReferenceData!$AW$132),"",ReferenceData!$AW$132),"")</f>
        <v/>
      </c>
      <c r="AX132" t="str">
        <f ca="1">IFERROR(IF(0=LEN(ReferenceData!$AX$132),"",ReferenceData!$AX$132),"")</f>
        <v/>
      </c>
      <c r="AY132" t="str">
        <f ca="1">IFERROR(IF(0=LEN(ReferenceData!$AY$132),"",ReferenceData!$AY$132),"")</f>
        <v/>
      </c>
      <c r="AZ132" t="str">
        <f ca="1">IFERROR(IF(0=LEN(ReferenceData!$AZ$132),"",ReferenceData!$AZ$132),"")</f>
        <v/>
      </c>
      <c r="BA132" t="str">
        <f ca="1">IFERROR(IF(0=LEN(ReferenceData!$BA$132),"",ReferenceData!$BA$132),"")</f>
        <v/>
      </c>
      <c r="BB132" t="str">
        <f ca="1">IFERROR(IF(0=LEN(ReferenceData!$BB$132),"",ReferenceData!$BB$132),"")</f>
        <v/>
      </c>
      <c r="BC132" t="str">
        <f ca="1">IFERROR(IF(0=LEN(ReferenceData!$BC$132),"",ReferenceData!$BC$132),"")</f>
        <v/>
      </c>
      <c r="BD132" t="str">
        <f ca="1">IFERROR(IF(0=LEN(ReferenceData!$BD$132),"",ReferenceData!$BD$132),"")</f>
        <v/>
      </c>
      <c r="BE132" t="str">
        <f ca="1">IFERROR(IF(0=LEN(ReferenceData!$BE$132),"",ReferenceData!$BE$132),"")</f>
        <v/>
      </c>
      <c r="BF132" t="str">
        <f ca="1">IFERROR(IF(0=LEN(ReferenceData!$BF$132),"",ReferenceData!$BF$132),"")</f>
        <v/>
      </c>
      <c r="BG132" t="str">
        <f ca="1">IFERROR(IF(0=LEN(ReferenceData!$BG$132),"",ReferenceData!$BG$132),"")</f>
        <v/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 t="str">
        <f ca="1">IFERROR(IF(0=LEN(ReferenceData!$BJ$132),"",ReferenceData!$BJ$132),"")</f>
        <v/>
      </c>
      <c r="BK132" t="str">
        <f ca="1">IFERROR(IF(0=LEN(ReferenceData!$BK$132),"",ReferenceData!$BK$132),"")</f>
        <v/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>
      <c r="A133" t="str">
        <f>IFERROR(IF(0=LEN(ReferenceData!$A$133),"",ReferenceData!$A$133),"")</f>
        <v xml:space="preserve">    Fifth Third Bancorp</v>
      </c>
      <c r="B133" t="str">
        <f>IFERROR(IF(0=LEN(ReferenceData!$B$133),"",ReferenceData!$B$133),"")</f>
        <v>FITB US Equity</v>
      </c>
      <c r="C133" t="str">
        <f>IFERROR(IF(0=LEN(ReferenceData!$C$133),"",ReferenceData!$C$133),"")</f>
        <v>BS965</v>
      </c>
      <c r="D133" t="str">
        <f>IFERROR(IF(0=LEN(ReferenceData!$D$133),"",ReferenceData!$D$133),"")</f>
        <v>BS_COMML_MTG_SERVICING_PORTFOLIO</v>
      </c>
      <c r="E133" t="str">
        <f>IFERROR(IF(0=LEN(ReferenceData!$E$133),"",ReferenceData!$E$133),"")</f>
        <v>Dynamic</v>
      </c>
      <c r="F133" t="str">
        <f ca="1">IFERROR(IF(0=LEN(ReferenceData!$F$133),"",ReferenceData!$F$133),"")</f>
        <v/>
      </c>
      <c r="G133" t="str">
        <f ca="1">IFERROR(IF(0=LEN(ReferenceData!$G$133),"",ReferenceData!$G$133),"")</f>
        <v/>
      </c>
      <c r="H133" t="str">
        <f ca="1">IFERROR(IF(0=LEN(ReferenceData!$H$133),"",ReferenceData!$H$133),"")</f>
        <v/>
      </c>
      <c r="I133" t="str">
        <f ca="1">IFERROR(IF(0=LEN(ReferenceData!$I$133),"",ReferenceData!$I$133),"")</f>
        <v/>
      </c>
      <c r="J133" t="str">
        <f ca="1">IFERROR(IF(0=LEN(ReferenceData!$J$133),"",ReferenceData!$J$133),"")</f>
        <v/>
      </c>
      <c r="K133" t="str">
        <f ca="1">IFERROR(IF(0=LEN(ReferenceData!$K$133),"",ReferenceData!$K$133),"")</f>
        <v/>
      </c>
      <c r="L133" t="str">
        <f ca="1">IFERROR(IF(0=LEN(ReferenceData!$L$133),"",ReferenceData!$L$133),"")</f>
        <v/>
      </c>
      <c r="M133" t="str">
        <f ca="1">IFERROR(IF(0=LEN(ReferenceData!$M$133),"",ReferenceData!$M$133),"")</f>
        <v/>
      </c>
      <c r="N133" t="str">
        <f ca="1">IFERROR(IF(0=LEN(ReferenceData!$N$133),"",ReferenceData!$N$133),"")</f>
        <v/>
      </c>
      <c r="O133" t="str">
        <f ca="1">IFERROR(IF(0=LEN(ReferenceData!$O$133),"",ReferenceData!$O$133),"")</f>
        <v/>
      </c>
      <c r="P133" t="str">
        <f ca="1">IFERROR(IF(0=LEN(ReferenceData!$P$133),"",ReferenceData!$P$133),"")</f>
        <v/>
      </c>
      <c r="Q133" t="str">
        <f ca="1">IFERROR(IF(0=LEN(ReferenceData!$Q$133),"",ReferenceData!$Q$133),"")</f>
        <v/>
      </c>
      <c r="R133" t="str">
        <f ca="1">IFERROR(IF(0=LEN(ReferenceData!$R$133),"",ReferenceData!$R$133),"")</f>
        <v/>
      </c>
      <c r="S133" t="str">
        <f ca="1">IFERROR(IF(0=LEN(ReferenceData!$S$133),"",ReferenceData!$S$133),"")</f>
        <v/>
      </c>
      <c r="T133" t="str">
        <f ca="1">IFERROR(IF(0=LEN(ReferenceData!$T$133),"",ReferenceData!$T$133),"")</f>
        <v/>
      </c>
      <c r="U133" t="str">
        <f ca="1">IFERROR(IF(0=LEN(ReferenceData!$U$133),"",ReferenceData!$U$133),"")</f>
        <v/>
      </c>
      <c r="V133" t="str">
        <f ca="1">IFERROR(IF(0=LEN(ReferenceData!$V$133),"",ReferenceData!$V$133),"")</f>
        <v/>
      </c>
      <c r="W133" t="str">
        <f ca="1">IFERROR(IF(0=LEN(ReferenceData!$W$133),"",ReferenceData!$W$133),"")</f>
        <v/>
      </c>
      <c r="X133" t="str">
        <f ca="1">IFERROR(IF(0=LEN(ReferenceData!$X$133),"",ReferenceData!$X$133),"")</f>
        <v/>
      </c>
      <c r="Y133" t="str">
        <f ca="1">IFERROR(IF(0=LEN(ReferenceData!$Y$133),"",ReferenceData!$Y$133),"")</f>
        <v/>
      </c>
      <c r="Z133" t="str">
        <f ca="1">IFERROR(IF(0=LEN(ReferenceData!$Z$133),"",ReferenceData!$Z$133),"")</f>
        <v/>
      </c>
      <c r="AA133" t="str">
        <f ca="1">IFERROR(IF(0=LEN(ReferenceData!$AA$133),"",ReferenceData!$AA$133),"")</f>
        <v/>
      </c>
      <c r="AB133" t="str">
        <f ca="1">IFERROR(IF(0=LEN(ReferenceData!$AB$133),"",ReferenceData!$AB$133),"")</f>
        <v/>
      </c>
      <c r="AC133" t="str">
        <f ca="1">IFERROR(IF(0=LEN(ReferenceData!$AC$133),"",ReferenceData!$AC$133),"")</f>
        <v/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 t="str">
        <f ca="1">IFERROR(IF(0=LEN(ReferenceData!$AP$133),"",ReferenceData!$AP$133),"")</f>
        <v/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  <c r="AT133" t="str">
        <f ca="1">IFERROR(IF(0=LEN(ReferenceData!$AT$133),"",ReferenceData!$AT$133),"")</f>
        <v/>
      </c>
      <c r="AU133" t="str">
        <f ca="1">IFERROR(IF(0=LEN(ReferenceData!$AU$133),"",ReferenceData!$AU$133),"")</f>
        <v/>
      </c>
      <c r="AV133" t="str">
        <f ca="1">IFERROR(IF(0=LEN(ReferenceData!$AV$133),"",ReferenceData!$AV$133),"")</f>
        <v/>
      </c>
      <c r="AW133" t="str">
        <f ca="1">IFERROR(IF(0=LEN(ReferenceData!$AW$133),"",ReferenceData!$AW$133),"")</f>
        <v/>
      </c>
      <c r="AX133" t="str">
        <f ca="1">IFERROR(IF(0=LEN(ReferenceData!$AX$133),"",ReferenceData!$AX$133),"")</f>
        <v/>
      </c>
      <c r="AY133" t="str">
        <f ca="1">IFERROR(IF(0=LEN(ReferenceData!$AY$133),"",ReferenceData!$AY$133),"")</f>
        <v/>
      </c>
      <c r="AZ133" t="str">
        <f ca="1">IFERROR(IF(0=LEN(ReferenceData!$AZ$133),"",ReferenceData!$AZ$133),"")</f>
        <v/>
      </c>
      <c r="BA133" t="str">
        <f ca="1">IFERROR(IF(0=LEN(ReferenceData!$BA$133),"",ReferenceData!$BA$133),"")</f>
        <v/>
      </c>
      <c r="BB133" t="str">
        <f ca="1">IFERROR(IF(0=LEN(ReferenceData!$BB$133),"",ReferenceData!$BB$133),"")</f>
        <v/>
      </c>
      <c r="BC133" t="str">
        <f ca="1">IFERROR(IF(0=LEN(ReferenceData!$BC$133),"",ReferenceData!$BC$133),"")</f>
        <v/>
      </c>
      <c r="BD133" t="str">
        <f ca="1">IFERROR(IF(0=LEN(ReferenceData!$BD$133),"",ReferenceData!$BD$133),"")</f>
        <v/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 t="str">
        <f ca="1">IFERROR(IF(0=LEN(ReferenceData!$BJ$133),"",ReferenceData!$BJ$133),"")</f>
        <v/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>
      <c r="A134" t="str">
        <f>IFERROR(IF(0=LEN(ReferenceData!$A$134),"",ReferenceData!$A$134),"")</f>
        <v xml:space="preserve">    First Citizens BancShares Inc/</v>
      </c>
      <c r="B134" t="str">
        <f>IFERROR(IF(0=LEN(ReferenceData!$B$134),"",ReferenceData!$B$134),"")</f>
        <v>FCNCA US Equity</v>
      </c>
      <c r="C134" t="str">
        <f>IFERROR(IF(0=LEN(ReferenceData!$C$134),"",ReferenceData!$C$134),"")</f>
        <v>BS965</v>
      </c>
      <c r="D134" t="str">
        <f>IFERROR(IF(0=LEN(ReferenceData!$D$134),"",ReferenceData!$D$134),"")</f>
        <v>BS_COMML_MTG_SERVICING_PORTFOLIO</v>
      </c>
      <c r="E134" t="str">
        <f>IFERROR(IF(0=LEN(ReferenceData!$E$134),"",ReferenceData!$E$134),"")</f>
        <v>Dynamic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  <c r="AT134" t="str">
        <f ca="1">IFERROR(IF(0=LEN(ReferenceData!$AT$134),"",ReferenceData!$AT$134),"")</f>
        <v/>
      </c>
      <c r="AU134" t="str">
        <f ca="1">IFERROR(IF(0=LEN(ReferenceData!$AU$134),"",ReferenceData!$AU$134),"")</f>
        <v/>
      </c>
      <c r="AV134" t="str">
        <f ca="1">IFERROR(IF(0=LEN(ReferenceData!$AV$134),"",ReferenceData!$AV$134),"")</f>
        <v/>
      </c>
      <c r="AW134" t="str">
        <f ca="1">IFERROR(IF(0=LEN(ReferenceData!$AW$134),"",ReferenceData!$AW$134),"")</f>
        <v/>
      </c>
      <c r="AX134" t="str">
        <f ca="1">IFERROR(IF(0=LEN(ReferenceData!$AX$134),"",ReferenceData!$AX$134),"")</f>
        <v/>
      </c>
      <c r="AY134" t="str">
        <f ca="1">IFERROR(IF(0=LEN(ReferenceData!$AY$134),"",ReferenceData!$AY$134),"")</f>
        <v/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>
      <c r="A135" t="str">
        <f>IFERROR(IF(0=LEN(ReferenceData!$A$135),"",ReferenceData!$A$135),"")</f>
        <v xml:space="preserve">    Flagstar Financial Inc</v>
      </c>
      <c r="B135" t="str">
        <f>IFERROR(IF(0=LEN(ReferenceData!$B$135),"",ReferenceData!$B$135),"")</f>
        <v>FLG US Equity</v>
      </c>
      <c r="C135" t="str">
        <f>IFERROR(IF(0=LEN(ReferenceData!$C$135),"",ReferenceData!$C$135),"")</f>
        <v>BS965</v>
      </c>
      <c r="D135" t="str">
        <f>IFERROR(IF(0=LEN(ReferenceData!$D$135),"",ReferenceData!$D$135),"")</f>
        <v>BS_COMML_MTG_SERVICING_PORTFOLIO</v>
      </c>
      <c r="E135" t="str">
        <f>IFERROR(IF(0=LEN(ReferenceData!$E$135),"",ReferenceData!$E$135),"")</f>
        <v>Dynamic</v>
      </c>
      <c r="F135" t="str">
        <f ca="1">IFERROR(IF(0=LEN(ReferenceData!$F$135),"",ReferenceData!$F$135),"")</f>
        <v/>
      </c>
      <c r="G135" t="str">
        <f ca="1">IFERROR(IF(0=LEN(ReferenceData!$G$135),"",ReferenceData!$G$135),"")</f>
        <v/>
      </c>
      <c r="H135" t="str">
        <f ca="1">IFERROR(IF(0=LEN(ReferenceData!$H$135),"",ReferenceData!$H$135),"")</f>
        <v/>
      </c>
      <c r="I135" t="str">
        <f ca="1">IFERROR(IF(0=LEN(ReferenceData!$I$135),"",ReferenceData!$I$135),"")</f>
        <v/>
      </c>
      <c r="J135" t="str">
        <f ca="1">IFERROR(IF(0=LEN(ReferenceData!$J$135),"",ReferenceData!$J$135),"")</f>
        <v/>
      </c>
      <c r="K135" t="str">
        <f ca="1">IFERROR(IF(0=LEN(ReferenceData!$K$135),"",ReferenceData!$K$135),"")</f>
        <v/>
      </c>
      <c r="L135" t="str">
        <f ca="1">IFERROR(IF(0=LEN(ReferenceData!$L$135),"",ReferenceData!$L$135),"")</f>
        <v/>
      </c>
      <c r="M135" t="str">
        <f ca="1">IFERROR(IF(0=LEN(ReferenceData!$M$135),"",ReferenceData!$M$135),"")</f>
        <v/>
      </c>
      <c r="N135" t="str">
        <f ca="1">IFERROR(IF(0=LEN(ReferenceData!$N$135),"",ReferenceData!$N$135),"")</f>
        <v/>
      </c>
      <c r="O135" t="str">
        <f ca="1">IFERROR(IF(0=LEN(ReferenceData!$O$135),"",ReferenceData!$O$135),"")</f>
        <v/>
      </c>
      <c r="P135" t="str">
        <f ca="1">IFERROR(IF(0=LEN(ReferenceData!$P$135),"",ReferenceData!$P$135),"")</f>
        <v/>
      </c>
      <c r="Q135" t="str">
        <f ca="1">IFERROR(IF(0=LEN(ReferenceData!$Q$135),"",ReferenceData!$Q$135),"")</f>
        <v/>
      </c>
      <c r="R135" t="str">
        <f ca="1">IFERROR(IF(0=LEN(ReferenceData!$R$135),"",ReferenceData!$R$135),"")</f>
        <v/>
      </c>
      <c r="S135" t="str">
        <f ca="1">IFERROR(IF(0=LEN(ReferenceData!$S$135),"",ReferenceData!$S$135),"")</f>
        <v/>
      </c>
      <c r="T135" t="str">
        <f ca="1">IFERROR(IF(0=LEN(ReferenceData!$T$135),"",ReferenceData!$T$135),"")</f>
        <v/>
      </c>
      <c r="U135" t="str">
        <f ca="1">IFERROR(IF(0=LEN(ReferenceData!$U$135),"",ReferenceData!$U$135),"")</f>
        <v/>
      </c>
      <c r="V135" t="str">
        <f ca="1">IFERROR(IF(0=LEN(ReferenceData!$V$135),"",ReferenceData!$V$135),"")</f>
        <v/>
      </c>
      <c r="W135" t="str">
        <f ca="1">IFERROR(IF(0=LEN(ReferenceData!$W$135),"",ReferenceData!$W$135),"")</f>
        <v/>
      </c>
      <c r="X135" t="str">
        <f ca="1">IFERROR(IF(0=LEN(ReferenceData!$X$135),"",ReferenceData!$X$135),"")</f>
        <v/>
      </c>
      <c r="Y135" t="str">
        <f ca="1">IFERROR(IF(0=LEN(ReferenceData!$Y$135),"",ReferenceData!$Y$135),"")</f>
        <v/>
      </c>
      <c r="Z135" t="str">
        <f ca="1">IFERROR(IF(0=LEN(ReferenceData!$Z$135),"",ReferenceData!$Z$135),"")</f>
        <v/>
      </c>
      <c r="AA135" t="str">
        <f ca="1">IFERROR(IF(0=LEN(ReferenceData!$AA$135),"",ReferenceData!$AA$135),"")</f>
        <v/>
      </c>
      <c r="AB135" t="str">
        <f ca="1">IFERROR(IF(0=LEN(ReferenceData!$AB$135),"",ReferenceData!$AB$135),"")</f>
        <v/>
      </c>
      <c r="AC135" t="str">
        <f ca="1">IFERROR(IF(0=LEN(ReferenceData!$AC$135),"",ReferenceData!$AC$135),"")</f>
        <v/>
      </c>
      <c r="AD135" t="str">
        <f ca="1">IFERROR(IF(0=LEN(ReferenceData!$AD$135),"",ReferenceData!$AD$135),"")</f>
        <v/>
      </c>
      <c r="AE135" t="str">
        <f ca="1">IFERROR(IF(0=LEN(ReferenceData!$AE$135),"",ReferenceData!$AE$135),"")</f>
        <v/>
      </c>
      <c r="AF135" t="str">
        <f ca="1">IFERROR(IF(0=LEN(ReferenceData!$AF$135),"",ReferenceData!$AF$135),"")</f>
        <v/>
      </c>
      <c r="AG135" t="str">
        <f ca="1">IFERROR(IF(0=LEN(ReferenceData!$AG$135),"",ReferenceData!$AG$135),"")</f>
        <v/>
      </c>
      <c r="AH135" t="str">
        <f ca="1">IFERROR(IF(0=LEN(ReferenceData!$AH$135),"",ReferenceData!$AH$135),"")</f>
        <v/>
      </c>
      <c r="AI135" t="str">
        <f ca="1">IFERROR(IF(0=LEN(ReferenceData!$AI$135),"",ReferenceData!$AI$135),"")</f>
        <v/>
      </c>
      <c r="AJ135" t="str">
        <f ca="1">IFERROR(IF(0=LEN(ReferenceData!$AJ$135),"",ReferenceData!$AJ$135),"")</f>
        <v/>
      </c>
      <c r="AK135" t="str">
        <f ca="1">IFERROR(IF(0=LEN(ReferenceData!$AK$135),"",ReferenceData!$AK$135),"")</f>
        <v/>
      </c>
      <c r="AL135" t="str">
        <f ca="1">IFERROR(IF(0=LEN(ReferenceData!$AL$135),"",ReferenceData!$AL$135),"")</f>
        <v/>
      </c>
      <c r="AM135" t="str">
        <f ca="1">IFERROR(IF(0=LEN(ReferenceData!$AM$135),"",ReferenceData!$AM$135),"")</f>
        <v/>
      </c>
      <c r="AN135" t="str">
        <f ca="1">IFERROR(IF(0=LEN(ReferenceData!$AN$135),"",ReferenceData!$AN$135),"")</f>
        <v/>
      </c>
      <c r="AO135" t="str">
        <f ca="1">IFERROR(IF(0=LEN(ReferenceData!$AO$135),"",ReferenceData!$AO$135),"")</f>
        <v/>
      </c>
      <c r="AP135" t="str">
        <f ca="1">IFERROR(IF(0=LEN(ReferenceData!$AP$135),"",ReferenceData!$AP$135),"")</f>
        <v/>
      </c>
      <c r="AQ135" t="str">
        <f ca="1">IFERROR(IF(0=LEN(ReferenceData!$AQ$135),"",ReferenceData!$AQ$135),"")</f>
        <v/>
      </c>
      <c r="AR135" t="str">
        <f ca="1">IFERROR(IF(0=LEN(ReferenceData!$AR$135),"",ReferenceData!$AR$135),"")</f>
        <v/>
      </c>
      <c r="AS135" t="str">
        <f ca="1">IFERROR(IF(0=LEN(ReferenceData!$AS$135),"",ReferenceData!$AS$135),"")</f>
        <v/>
      </c>
      <c r="AT135" t="str">
        <f ca="1">IFERROR(IF(0=LEN(ReferenceData!$AT$135),"",ReferenceData!$AT$135),"")</f>
        <v/>
      </c>
      <c r="AU135" t="str">
        <f ca="1">IFERROR(IF(0=LEN(ReferenceData!$AU$135),"",ReferenceData!$AU$135),"")</f>
        <v/>
      </c>
      <c r="AV135" t="str">
        <f ca="1">IFERROR(IF(0=LEN(ReferenceData!$AV$135),"",ReferenceData!$AV$135),"")</f>
        <v/>
      </c>
      <c r="AW135" t="str">
        <f ca="1">IFERROR(IF(0=LEN(ReferenceData!$AW$135),"",ReferenceData!$AW$135),"")</f>
        <v/>
      </c>
      <c r="AX135" t="str">
        <f ca="1">IFERROR(IF(0=LEN(ReferenceData!$AX$135),"",ReferenceData!$AX$135),"")</f>
        <v/>
      </c>
      <c r="AY135" t="str">
        <f ca="1">IFERROR(IF(0=LEN(ReferenceData!$AY$135),"",ReferenceData!$AY$135),"")</f>
        <v/>
      </c>
      <c r="AZ135" t="str">
        <f ca="1">IFERROR(IF(0=LEN(ReferenceData!$AZ$135),"",ReferenceData!$AZ$135),"")</f>
        <v/>
      </c>
      <c r="BA135" t="str">
        <f ca="1">IFERROR(IF(0=LEN(ReferenceData!$BA$135),"",ReferenceData!$BA$135),"")</f>
        <v/>
      </c>
      <c r="BB135" t="str">
        <f ca="1">IFERROR(IF(0=LEN(ReferenceData!$BB$135),"",ReferenceData!$BB$135),"")</f>
        <v/>
      </c>
      <c r="BC135" t="str">
        <f ca="1">IFERROR(IF(0=LEN(ReferenceData!$BC$135),"",ReferenceData!$BC$135),"")</f>
        <v/>
      </c>
      <c r="BD135" t="str">
        <f ca="1">IFERROR(IF(0=LEN(ReferenceData!$BD$135),"",ReferenceData!$BD$135),"")</f>
        <v/>
      </c>
      <c r="BE135" t="str">
        <f ca="1">IFERROR(IF(0=LEN(ReferenceData!$BE$135),"",ReferenceData!$BE$135),"")</f>
        <v/>
      </c>
      <c r="BF135" t="str">
        <f ca="1">IFERROR(IF(0=LEN(ReferenceData!$BF$135),"",ReferenceData!$BF$135),"")</f>
        <v/>
      </c>
      <c r="BG135" t="str">
        <f ca="1">IFERROR(IF(0=LEN(ReferenceData!$BG$135),"",ReferenceData!$BG$135),"")</f>
        <v/>
      </c>
      <c r="BH135" t="str">
        <f ca="1">IFERROR(IF(0=LEN(ReferenceData!$BH$135),"",ReferenceData!$BH$135),"")</f>
        <v/>
      </c>
      <c r="BI135" t="str">
        <f ca="1">IFERROR(IF(0=LEN(ReferenceData!$BI$135),"",ReferenceData!$BI$135),"")</f>
        <v/>
      </c>
      <c r="BJ135" t="str">
        <f ca="1">IFERROR(IF(0=LEN(ReferenceData!$BJ$135),"",ReferenceData!$BJ$135),"")</f>
        <v/>
      </c>
      <c r="BK135" t="str">
        <f ca="1">IFERROR(IF(0=LEN(ReferenceData!$BK$135),"",ReferenceData!$BK$135),"")</f>
        <v/>
      </c>
      <c r="BL135" t="str">
        <f ca="1">IFERROR(IF(0=LEN(ReferenceData!$BL$135),"",ReferenceData!$BL$135),"")</f>
        <v/>
      </c>
      <c r="BM135" t="str">
        <f ca="1">IFERROR(IF(0=LEN(ReferenceData!$BM$135),"",ReferenceData!$BM$135),"")</f>
        <v/>
      </c>
    </row>
    <row r="136" spans="1:65">
      <c r="A136" t="str">
        <f>IFERROR(IF(0=LEN(ReferenceData!$A$136),"",ReferenceData!$A$136),"")</f>
        <v xml:space="preserve">    Huntington Bancshares Inc/OH</v>
      </c>
      <c r="B136" t="str">
        <f>IFERROR(IF(0=LEN(ReferenceData!$B$136),"",ReferenceData!$B$136),"")</f>
        <v>HBAN US Equity</v>
      </c>
      <c r="C136" t="str">
        <f>IFERROR(IF(0=LEN(ReferenceData!$C$136),"",ReferenceData!$C$136),"")</f>
        <v>BS965</v>
      </c>
      <c r="D136" t="str">
        <f>IFERROR(IF(0=LEN(ReferenceData!$D$136),"",ReferenceData!$D$136),"")</f>
        <v>BS_COMML_MTG_SERVICING_PORTFOLIO</v>
      </c>
      <c r="E136" t="str">
        <f>IFERROR(IF(0=LEN(ReferenceData!$E$136),"",ReferenceData!$E$136),"")</f>
        <v>Dynamic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  <c r="AT136" t="str">
        <f ca="1">IFERROR(IF(0=LEN(ReferenceData!$AT$136),"",ReferenceData!$AT$136),"")</f>
        <v/>
      </c>
      <c r="AU136" t="str">
        <f ca="1">IFERROR(IF(0=LEN(ReferenceData!$AU$136),"",ReferenceData!$AU$136),"")</f>
        <v/>
      </c>
      <c r="AV136" t="str">
        <f ca="1">IFERROR(IF(0=LEN(ReferenceData!$AV$136),"",ReferenceData!$AV$136),"")</f>
        <v/>
      </c>
      <c r="AW136" t="str">
        <f ca="1">IFERROR(IF(0=LEN(ReferenceData!$AW$136),"",ReferenceData!$AW$136),"")</f>
        <v/>
      </c>
      <c r="AX136" t="str">
        <f ca="1">IFERROR(IF(0=LEN(ReferenceData!$AX$136),"",ReferenceData!$AX$136),"")</f>
        <v/>
      </c>
      <c r="AY136" t="str">
        <f ca="1">IFERROR(IF(0=LEN(ReferenceData!$AY$136),"",ReferenceData!$AY$136),"")</f>
        <v/>
      </c>
      <c r="AZ136" t="str">
        <f ca="1">IFERROR(IF(0=LEN(ReferenceData!$AZ$136),"",ReferenceData!$AZ$136),"")</f>
        <v/>
      </c>
      <c r="BA136" t="str">
        <f ca="1">IFERROR(IF(0=LEN(ReferenceData!$BA$136),"",ReferenceData!$BA$136),"")</f>
        <v/>
      </c>
      <c r="BB136" t="str">
        <f ca="1">IFERROR(IF(0=LEN(ReferenceData!$BB$136),"",ReferenceData!$BB$136),"")</f>
        <v/>
      </c>
      <c r="BC136" t="str">
        <f ca="1">IFERROR(IF(0=LEN(ReferenceData!$BC$136),"",ReferenceData!$BC$136),"")</f>
        <v/>
      </c>
      <c r="BD136" t="str">
        <f ca="1">IFERROR(IF(0=LEN(ReferenceData!$BD$136),"",ReferenceData!$BD$136),"")</f>
        <v/>
      </c>
      <c r="BE136" t="str">
        <f ca="1">IFERROR(IF(0=LEN(ReferenceData!$BE$136),"",ReferenceData!$BE$136),"")</f>
        <v/>
      </c>
      <c r="BF136" t="str">
        <f ca="1">IFERROR(IF(0=LEN(ReferenceData!$BF$136),"",ReferenceData!$BF$136),"")</f>
        <v/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 t="str">
        <f ca="1">IFERROR(IF(0=LEN(ReferenceData!$BL$136),"",ReferenceData!$BL$136),"")</f>
        <v/>
      </c>
      <c r="BM136" t="str">
        <f ca="1">IFERROR(IF(0=LEN(ReferenceData!$BM$136),"",ReferenceData!$BM$136),"")</f>
        <v/>
      </c>
    </row>
    <row r="137" spans="1:65">
      <c r="A137" t="str">
        <f>IFERROR(IF(0=LEN(ReferenceData!$A$137),"",ReferenceData!$A$137),"")</f>
        <v xml:space="preserve">    KeyCorp</v>
      </c>
      <c r="B137" t="str">
        <f>IFERROR(IF(0=LEN(ReferenceData!$B$137),"",ReferenceData!$B$137),"")</f>
        <v>KEY US Equity</v>
      </c>
      <c r="C137" t="str">
        <f>IFERROR(IF(0=LEN(ReferenceData!$C$137),"",ReferenceData!$C$137),"")</f>
        <v>BS965</v>
      </c>
      <c r="D137" t="str">
        <f>IFERROR(IF(0=LEN(ReferenceData!$D$137),"",ReferenceData!$D$137),"")</f>
        <v>BS_COMML_MTG_SERVICING_PORTFOLIO</v>
      </c>
      <c r="E137" t="str">
        <f>IFERROR(IF(0=LEN(ReferenceData!$E$137),"",ReferenceData!$E$137),"")</f>
        <v>Dynamic</v>
      </c>
      <c r="F137">
        <f ca="1">IFERROR(IF(0=LEN(ReferenceData!$F$137),"",ReferenceData!$F$137),"")</f>
        <v>557633</v>
      </c>
      <c r="G137">
        <f ca="1">IFERROR(IF(0=LEN(ReferenceData!$G$137),"",ReferenceData!$G$137),"")</f>
        <v>557387</v>
      </c>
      <c r="H137">
        <f ca="1">IFERROR(IF(0=LEN(ReferenceData!$H$137),"",ReferenceData!$H$137),"")</f>
        <v>535826</v>
      </c>
      <c r="I137">
        <f ca="1">IFERROR(IF(0=LEN(ReferenceData!$I$137),"",ReferenceData!$I$137),"")</f>
        <v>505152</v>
      </c>
      <c r="J137">
        <f ca="1">IFERROR(IF(0=LEN(ReferenceData!$J$137),"",ReferenceData!$J$137),"")</f>
        <v>499449</v>
      </c>
      <c r="K137">
        <f ca="1">IFERROR(IF(0=LEN(ReferenceData!$K$137),"",ReferenceData!$K$137),"")</f>
        <v>500373</v>
      </c>
      <c r="L137">
        <f ca="1">IFERROR(IF(0=LEN(ReferenceData!$L$137),"",ReferenceData!$L$137),"")</f>
        <v>493396</v>
      </c>
      <c r="M137">
        <f ca="1">IFERROR(IF(0=LEN(ReferenceData!$M$137),"",ReferenceData!$M$137),"")</f>
        <v>493865</v>
      </c>
      <c r="N137">
        <f ca="1">IFERROR(IF(0=LEN(ReferenceData!$N$137),"",ReferenceData!$N$137),"")</f>
        <v>488478</v>
      </c>
      <c r="O137">
        <f ca="1">IFERROR(IF(0=LEN(ReferenceData!$O$137),"",ReferenceData!$O$137),"")</f>
        <v>485342</v>
      </c>
      <c r="P137">
        <f ca="1">IFERROR(IF(0=LEN(ReferenceData!$P$137),"",ReferenceData!$P$137),"")</f>
        <v>479974</v>
      </c>
      <c r="Q137">
        <f ca="1">IFERROR(IF(0=LEN(ReferenceData!$Q$137),"",ReferenceData!$Q$137),"")</f>
        <v>469371</v>
      </c>
      <c r="R137">
        <f ca="1">IFERROR(IF(0=LEN(ReferenceData!$R$137),"",ReferenceData!$R$137),"")</f>
        <v>444131</v>
      </c>
      <c r="S137">
        <f ca="1">IFERROR(IF(0=LEN(ReferenceData!$S$137),"",ReferenceData!$S$137),"")</f>
        <v>422091</v>
      </c>
      <c r="T137">
        <f ca="1">IFERROR(IF(0=LEN(ReferenceData!$T$137),"",ReferenceData!$T$137),"")</f>
        <v>400215</v>
      </c>
      <c r="U137">
        <f ca="1">IFERROR(IF(0=LEN(ReferenceData!$U$137),"",ReferenceData!$U$137),"")</f>
        <v>386908</v>
      </c>
      <c r="V137">
        <f ca="1">IFERROR(IF(0=LEN(ReferenceData!$V$137),"",ReferenceData!$V$137),"")</f>
        <v>371016</v>
      </c>
      <c r="W137">
        <f ca="1">IFERROR(IF(0=LEN(ReferenceData!$W$137),"",ReferenceData!$W$137),"")</f>
        <v>380110</v>
      </c>
      <c r="X137">
        <f ca="1">IFERROR(IF(0=LEN(ReferenceData!$X$137),"",ReferenceData!$X$137),"")</f>
        <v>357509</v>
      </c>
      <c r="Y137" t="str">
        <f ca="1">IFERROR(IF(0=LEN(ReferenceData!$Y$137),"",ReferenceData!$Y$137),"")</f>
        <v/>
      </c>
      <c r="Z137">
        <f ca="1">IFERROR(IF(0=LEN(ReferenceData!$Z$137),"",ReferenceData!$Z$137),"")</f>
        <v>347186</v>
      </c>
      <c r="AA137">
        <f ca="1">IFERROR(IF(0=LEN(ReferenceData!$AA$137),"",ReferenceData!$AA$137),"")</f>
        <v>317152</v>
      </c>
      <c r="AB137">
        <f ca="1">IFERROR(IF(0=LEN(ReferenceData!$AB$137),"",ReferenceData!$AB$137),"")</f>
        <v>310792</v>
      </c>
      <c r="AC137">
        <f ca="1">IFERROR(IF(0=LEN(ReferenceData!$AC$137),"",ReferenceData!$AC$137),"")</f>
        <v>300989</v>
      </c>
      <c r="AD137">
        <f ca="1">IFERROR(IF(0=LEN(ReferenceData!$AD$137),"",ReferenceData!$AD$137),"")</f>
        <v>291158</v>
      </c>
      <c r="AE137">
        <f ca="1">IFERROR(IF(0=LEN(ReferenceData!$AE$137),"",ReferenceData!$AE$137),"")</f>
        <v>270771</v>
      </c>
      <c r="AF137">
        <f ca="1">IFERROR(IF(0=LEN(ReferenceData!$AF$137),"",ReferenceData!$AF$137),"")</f>
        <v>256062</v>
      </c>
      <c r="AG137">
        <f ca="1">IFERROR(IF(0=LEN(ReferenceData!$AG$137),"",ReferenceData!$AG$137),"")</f>
        <v>246089</v>
      </c>
      <c r="AH137">
        <f ca="1">IFERROR(IF(0=LEN(ReferenceData!$AH$137),"",ReferenceData!$AH$137),"")</f>
        <v>238718</v>
      </c>
      <c r="AI137">
        <f ca="1">IFERROR(IF(0=LEN(ReferenceData!$AI$137),"",ReferenceData!$AI$137),"")</f>
        <v>224361</v>
      </c>
      <c r="AJ137">
        <f ca="1">IFERROR(IF(0=LEN(ReferenceData!$AJ$137),"",ReferenceData!$AJ$137),"")</f>
        <v>218667</v>
      </c>
      <c r="AK137">
        <f ca="1">IFERROR(IF(0=LEN(ReferenceData!$AK$137),"",ReferenceData!$AK$137),"")</f>
        <v>218387</v>
      </c>
      <c r="AL137">
        <f ca="1">IFERROR(IF(0=LEN(ReferenceData!$AL$137),"",ReferenceData!$AL$137),"")</f>
        <v>218135</v>
      </c>
      <c r="AM137">
        <f ca="1">IFERROR(IF(0=LEN(ReferenceData!$AM$137),"",ReferenceData!$AM$137),"")</f>
        <v>213998</v>
      </c>
      <c r="AN137">
        <f ca="1">IFERROR(IF(0=LEN(ReferenceData!$AN$137),"",ReferenceData!$AN$137),"")</f>
        <v>213879</v>
      </c>
      <c r="AO137">
        <f ca="1">IFERROR(IF(0=LEN(ReferenceData!$AO$137),"",ReferenceData!$AO$137),"")</f>
        <v>214756</v>
      </c>
      <c r="AP137">
        <f ca="1">IFERROR(IF(0=LEN(ReferenceData!$AP$137),"",ReferenceData!$AP$137),"")</f>
        <v>211274</v>
      </c>
      <c r="AQ137">
        <f ca="1">IFERROR(IF(0=LEN(ReferenceData!$AQ$137),"",ReferenceData!$AQ$137),"")</f>
        <v>209410</v>
      </c>
      <c r="AR137">
        <f ca="1">IFERROR(IF(0=LEN(ReferenceData!$AR$137),"",ReferenceData!$AR$137),"")</f>
        <v>203315</v>
      </c>
      <c r="AS137">
        <f ca="1">IFERROR(IF(0=LEN(ReferenceData!$AS$137),"",ReferenceData!$AS$137),"")</f>
        <v>201397</v>
      </c>
      <c r="AT137">
        <f ca="1">IFERROR(IF(0=LEN(ReferenceData!$AT$137),"",ReferenceData!$AT$137),"")</f>
        <v>191407</v>
      </c>
      <c r="AU137">
        <f ca="1">IFERROR(IF(0=LEN(ReferenceData!$AU$137),"",ReferenceData!$AU$137),"")</f>
        <v>179293</v>
      </c>
      <c r="AV137">
        <f ca="1">IFERROR(IF(0=LEN(ReferenceData!$AV$137),"",ReferenceData!$AV$137),"")</f>
        <v>179194</v>
      </c>
      <c r="AW137">
        <f ca="1">IFERROR(IF(0=LEN(ReferenceData!$AW$137),"",ReferenceData!$AW$137),"")</f>
        <v>174601</v>
      </c>
      <c r="AX137">
        <f ca="1">IFERROR(IF(0=LEN(ReferenceData!$AX$137),"",ReferenceData!$AX$137),"")</f>
        <v>177731</v>
      </c>
      <c r="AY137">
        <f ca="1">IFERROR(IF(0=LEN(ReferenceData!$AY$137),"",ReferenceData!$AY$137),"")</f>
        <v>199464</v>
      </c>
      <c r="AZ137">
        <f ca="1">IFERROR(IF(0=LEN(ReferenceData!$AZ$137),"",ReferenceData!$AZ$137),"")</f>
        <v>172398</v>
      </c>
      <c r="BA137">
        <f ca="1">IFERROR(IF(0=LEN(ReferenceData!$BA$137),"",ReferenceData!$BA$137),"")</f>
        <v>109173</v>
      </c>
      <c r="BB137">
        <f ca="1">IFERROR(IF(0=LEN(ReferenceData!$BB$137),"",ReferenceData!$BB$137),"")</f>
        <v>107630</v>
      </c>
      <c r="BC137">
        <f ca="1">IFERROR(IF(0=LEN(ReferenceData!$BC$137),"",ReferenceData!$BC$137),"")</f>
        <v>98309</v>
      </c>
      <c r="BD137">
        <f ca="1">IFERROR(IF(0=LEN(ReferenceData!$BD$137),"",ReferenceData!$BD$137),"")</f>
        <v>97329</v>
      </c>
      <c r="BE137">
        <f ca="1">IFERROR(IF(0=LEN(ReferenceData!$BE$137),"",ReferenceData!$BE$137),"")</f>
        <v>96519</v>
      </c>
      <c r="BF137">
        <f ca="1">IFERROR(IF(0=LEN(ReferenceData!$BF$137),"",ReferenceData!$BF$137),"")</f>
        <v>99608</v>
      </c>
      <c r="BG137">
        <f ca="1">IFERROR(IF(0=LEN(ReferenceData!$BG$137),"",ReferenceData!$BG$137),"")</f>
        <v>102734</v>
      </c>
      <c r="BH137">
        <f ca="1">IFERROR(IF(0=LEN(ReferenceData!$BH$137),"",ReferenceData!$BH$137),"")</f>
        <v>107077</v>
      </c>
      <c r="BI137">
        <f ca="1">IFERROR(IF(0=LEN(ReferenceData!$BI$137),"",ReferenceData!$BI$137),"")</f>
        <v>115369</v>
      </c>
      <c r="BJ137">
        <f ca="1">IFERROR(IF(0=LEN(ReferenceData!$BJ$137),"",ReferenceData!$BJ$137),"")</f>
        <v>117071</v>
      </c>
      <c r="BK137">
        <f ca="1">IFERROR(IF(0=LEN(ReferenceData!$BK$137),"",ReferenceData!$BK$137),"")</f>
        <v>119294</v>
      </c>
      <c r="BL137">
        <f ca="1">IFERROR(IF(0=LEN(ReferenceData!$BL$137),"",ReferenceData!$BL$137),"")</f>
        <v>120495</v>
      </c>
      <c r="BM137" t="str">
        <f ca="1">IFERROR(IF(0=LEN(ReferenceData!$BM$137),"",ReferenceData!$BM$137),"")</f>
        <v/>
      </c>
    </row>
    <row r="138" spans="1:65">
      <c r="A138" t="str">
        <f>IFERROR(IF(0=LEN(ReferenceData!$A$138),"",ReferenceData!$A$138),"")</f>
        <v xml:space="preserve">    M&amp;T Bank Corp</v>
      </c>
      <c r="B138" t="str">
        <f>IFERROR(IF(0=LEN(ReferenceData!$B$138),"",ReferenceData!$B$138),"")</f>
        <v>MTB US Equity</v>
      </c>
      <c r="C138" t="str">
        <f>IFERROR(IF(0=LEN(ReferenceData!$C$138),"",ReferenceData!$C$138),"")</f>
        <v>BS965</v>
      </c>
      <c r="D138" t="str">
        <f>IFERROR(IF(0=LEN(ReferenceData!$D$138),"",ReferenceData!$D$138),"")</f>
        <v>BS_COMML_MTG_SERVICING_PORTFOLIO</v>
      </c>
      <c r="E138" t="str">
        <f>IFERROR(IF(0=LEN(ReferenceData!$E$138),"",ReferenceData!$E$138),"")</f>
        <v>Dynamic</v>
      </c>
      <c r="F138" t="str">
        <f ca="1">IFERROR(IF(0=LEN(ReferenceData!$F$138),"",ReferenceData!$F$138),"")</f>
        <v/>
      </c>
      <c r="G138" t="str">
        <f ca="1">IFERROR(IF(0=LEN(ReferenceData!$G$138),"",ReferenceData!$G$138),"")</f>
        <v/>
      </c>
      <c r="H138" t="str">
        <f ca="1">IFERROR(IF(0=LEN(ReferenceData!$H$138),"",ReferenceData!$H$138),"")</f>
        <v/>
      </c>
      <c r="I138" t="str">
        <f ca="1">IFERROR(IF(0=LEN(ReferenceData!$I$138),"",ReferenceData!$I$138),"")</f>
        <v/>
      </c>
      <c r="J138" t="str">
        <f ca="1">IFERROR(IF(0=LEN(ReferenceData!$J$138),"",ReferenceData!$J$138),"")</f>
        <v/>
      </c>
      <c r="K138" t="str">
        <f ca="1">IFERROR(IF(0=LEN(ReferenceData!$K$138),"",ReferenceData!$K$138),"")</f>
        <v/>
      </c>
      <c r="L138" t="str">
        <f ca="1">IFERROR(IF(0=LEN(ReferenceData!$L$138),"",ReferenceData!$L$138),"")</f>
        <v/>
      </c>
      <c r="M138" t="str">
        <f ca="1">IFERROR(IF(0=LEN(ReferenceData!$M$138),"",ReferenceData!$M$138),"")</f>
        <v/>
      </c>
      <c r="N138" t="str">
        <f ca="1">IFERROR(IF(0=LEN(ReferenceData!$N$138),"",ReferenceData!$N$138),"")</f>
        <v/>
      </c>
      <c r="O138" t="str">
        <f ca="1">IFERROR(IF(0=LEN(ReferenceData!$O$138),"",ReferenceData!$O$138),"")</f>
        <v/>
      </c>
      <c r="P138" t="str">
        <f ca="1">IFERROR(IF(0=LEN(ReferenceData!$P$138),"",ReferenceData!$P$138),"")</f>
        <v/>
      </c>
      <c r="Q138" t="str">
        <f ca="1">IFERROR(IF(0=LEN(ReferenceData!$Q$138),"",ReferenceData!$Q$138),"")</f>
        <v/>
      </c>
      <c r="R138" t="str">
        <f ca="1">IFERROR(IF(0=LEN(ReferenceData!$R$138),"",ReferenceData!$R$138),"")</f>
        <v/>
      </c>
      <c r="S138" t="str">
        <f ca="1">IFERROR(IF(0=LEN(ReferenceData!$S$138),"",ReferenceData!$S$138),"")</f>
        <v/>
      </c>
      <c r="T138" t="str">
        <f ca="1">IFERROR(IF(0=LEN(ReferenceData!$T$138),"",ReferenceData!$T$138),"")</f>
        <v/>
      </c>
      <c r="U138" t="str">
        <f ca="1">IFERROR(IF(0=LEN(ReferenceData!$U$138),"",ReferenceData!$U$138),"")</f>
        <v/>
      </c>
      <c r="V138" t="str">
        <f ca="1">IFERROR(IF(0=LEN(ReferenceData!$V$138),"",ReferenceData!$V$138),"")</f>
        <v/>
      </c>
      <c r="W138" t="str">
        <f ca="1">IFERROR(IF(0=LEN(ReferenceData!$W$138),"",ReferenceData!$W$138),"")</f>
        <v/>
      </c>
      <c r="X138" t="str">
        <f ca="1">IFERROR(IF(0=LEN(ReferenceData!$X$138),"",ReferenceData!$X$138),"")</f>
        <v/>
      </c>
      <c r="Y138" t="str">
        <f ca="1">IFERROR(IF(0=LEN(ReferenceData!$Y$138),"",ReferenceData!$Y$138),"")</f>
        <v/>
      </c>
      <c r="Z138" t="str">
        <f ca="1">IFERROR(IF(0=LEN(ReferenceData!$Z$138),"",ReferenceData!$Z$138),"")</f>
        <v/>
      </c>
      <c r="AA138" t="str">
        <f ca="1">IFERROR(IF(0=LEN(ReferenceData!$AA$138),"",ReferenceData!$AA$138),"")</f>
        <v/>
      </c>
      <c r="AB138" t="str">
        <f ca="1">IFERROR(IF(0=LEN(ReferenceData!$AB$138),"",ReferenceData!$AB$138),"")</f>
        <v/>
      </c>
      <c r="AC138" t="str">
        <f ca="1">IFERROR(IF(0=LEN(ReferenceData!$AC$138),"",ReferenceData!$AC$138),"")</f>
        <v/>
      </c>
      <c r="AD138" t="str">
        <f ca="1">IFERROR(IF(0=LEN(ReferenceData!$AD$138),"",ReferenceData!$AD$138),"")</f>
        <v/>
      </c>
      <c r="AE138" t="str">
        <f ca="1">IFERROR(IF(0=LEN(ReferenceData!$AE$138),"",ReferenceData!$AE$138),"")</f>
        <v/>
      </c>
      <c r="AF138" t="str">
        <f ca="1">IFERROR(IF(0=LEN(ReferenceData!$AF$138),"",ReferenceData!$AF$138),"")</f>
        <v/>
      </c>
      <c r="AG138" t="str">
        <f ca="1">IFERROR(IF(0=LEN(ReferenceData!$AG$138),"",ReferenceData!$AG$138),"")</f>
        <v/>
      </c>
      <c r="AH138" t="str">
        <f ca="1">IFERROR(IF(0=LEN(ReferenceData!$AH$138),"",ReferenceData!$AH$138),"")</f>
        <v/>
      </c>
      <c r="AI138" t="str">
        <f ca="1">IFERROR(IF(0=LEN(ReferenceData!$AI$138),"",ReferenceData!$AI$138),"")</f>
        <v/>
      </c>
      <c r="AJ138" t="str">
        <f ca="1">IFERROR(IF(0=LEN(ReferenceData!$AJ$138),"",ReferenceData!$AJ$138),"")</f>
        <v/>
      </c>
      <c r="AK138" t="str">
        <f ca="1">IFERROR(IF(0=LEN(ReferenceData!$AK$138),"",ReferenceData!$AK$138),"")</f>
        <v/>
      </c>
      <c r="AL138" t="str">
        <f ca="1">IFERROR(IF(0=LEN(ReferenceData!$AL$138),"",ReferenceData!$AL$138),"")</f>
        <v/>
      </c>
      <c r="AM138" t="str">
        <f ca="1">IFERROR(IF(0=LEN(ReferenceData!$AM$138),"",ReferenceData!$AM$138),"")</f>
        <v/>
      </c>
      <c r="AN138" t="str">
        <f ca="1">IFERROR(IF(0=LEN(ReferenceData!$AN$138),"",ReferenceData!$AN$138),"")</f>
        <v/>
      </c>
      <c r="AO138" t="str">
        <f ca="1">IFERROR(IF(0=LEN(ReferenceData!$AO$138),"",ReferenceData!$AO$138),"")</f>
        <v/>
      </c>
      <c r="AP138" t="str">
        <f ca="1">IFERROR(IF(0=LEN(ReferenceData!$AP$138),"",ReferenceData!$AP$138),"")</f>
        <v/>
      </c>
      <c r="AQ138" t="str">
        <f ca="1">IFERROR(IF(0=LEN(ReferenceData!$AQ$138),"",ReferenceData!$AQ$138),"")</f>
        <v/>
      </c>
      <c r="AR138" t="str">
        <f ca="1">IFERROR(IF(0=LEN(ReferenceData!$AR$138),"",ReferenceData!$AR$138),"")</f>
        <v/>
      </c>
      <c r="AS138" t="str">
        <f ca="1">IFERROR(IF(0=LEN(ReferenceData!$AS$138),"",ReferenceData!$AS$138),"")</f>
        <v/>
      </c>
      <c r="AT138" t="str">
        <f ca="1">IFERROR(IF(0=LEN(ReferenceData!$AT$138),"",ReferenceData!$AT$138),"")</f>
        <v/>
      </c>
      <c r="AU138" t="str">
        <f ca="1">IFERROR(IF(0=LEN(ReferenceData!$AU$138),"",ReferenceData!$AU$138),"")</f>
        <v/>
      </c>
      <c r="AV138" t="str">
        <f ca="1">IFERROR(IF(0=LEN(ReferenceData!$AV$138),"",ReferenceData!$AV$138),"")</f>
        <v/>
      </c>
      <c r="AW138" t="str">
        <f ca="1">IFERROR(IF(0=LEN(ReferenceData!$AW$138),"",ReferenceData!$AW$138),"")</f>
        <v/>
      </c>
      <c r="AX138" t="str">
        <f ca="1">IFERROR(IF(0=LEN(ReferenceData!$AX$138),"",ReferenceData!$AX$138),"")</f>
        <v/>
      </c>
      <c r="AY138" t="str">
        <f ca="1">IFERROR(IF(0=LEN(ReferenceData!$AY$138),"",ReferenceData!$AY$138),"")</f>
        <v/>
      </c>
      <c r="AZ138" t="str">
        <f ca="1">IFERROR(IF(0=LEN(ReferenceData!$AZ$138),"",ReferenceData!$AZ$138),"")</f>
        <v/>
      </c>
      <c r="BA138" t="str">
        <f ca="1">IFERROR(IF(0=LEN(ReferenceData!$BA$138),"",ReferenceData!$BA$138),"")</f>
        <v/>
      </c>
      <c r="BB138" t="str">
        <f ca="1">IFERROR(IF(0=LEN(ReferenceData!$BB$138),"",ReferenceData!$BB$138),"")</f>
        <v/>
      </c>
      <c r="BC138" t="str">
        <f ca="1">IFERROR(IF(0=LEN(ReferenceData!$BC$138),"",ReferenceData!$BC$138),"")</f>
        <v/>
      </c>
      <c r="BD138" t="str">
        <f ca="1">IFERROR(IF(0=LEN(ReferenceData!$BD$138),"",ReferenceData!$BD$138),"")</f>
        <v/>
      </c>
      <c r="BE138" t="str">
        <f ca="1">IFERROR(IF(0=LEN(ReferenceData!$BE$138),"",ReferenceData!$BE$138),"")</f>
        <v/>
      </c>
      <c r="BF138" t="str">
        <f ca="1">IFERROR(IF(0=LEN(ReferenceData!$BF$138),"",ReferenceData!$BF$138),"")</f>
        <v/>
      </c>
      <c r="BG138" t="str">
        <f ca="1">IFERROR(IF(0=LEN(ReferenceData!$BG$138),"",ReferenceData!$BG$138),"")</f>
        <v/>
      </c>
      <c r="BH138" t="str">
        <f ca="1">IFERROR(IF(0=LEN(ReferenceData!$BH$138),"",ReferenceData!$BH$138),"")</f>
        <v/>
      </c>
      <c r="BI138" t="str">
        <f ca="1">IFERROR(IF(0=LEN(ReferenceData!$BI$138),"",ReferenceData!$BI$138),"")</f>
        <v/>
      </c>
      <c r="BJ138" t="str">
        <f ca="1">IFERROR(IF(0=LEN(ReferenceData!$BJ$138),"",ReferenceData!$BJ$138),"")</f>
        <v/>
      </c>
      <c r="BK138" t="str">
        <f ca="1">IFERROR(IF(0=LEN(ReferenceData!$BK$138),"",ReferenceData!$BK$138),"")</f>
        <v/>
      </c>
      <c r="BL138" t="str">
        <f ca="1">IFERROR(IF(0=LEN(ReferenceData!$BL$138),"",ReferenceData!$BL$138),"")</f>
        <v/>
      </c>
      <c r="BM138" t="str">
        <f ca="1">IFERROR(IF(0=LEN(ReferenceData!$BM$138),"",ReferenceData!$BM$138),"")</f>
        <v/>
      </c>
    </row>
    <row r="139" spans="1:65">
      <c r="A139" t="str">
        <f>IFERROR(IF(0=LEN(ReferenceData!$A$139),"",ReferenceData!$A$139),"")</f>
        <v xml:space="preserve">    PNC Financial Services Group I</v>
      </c>
      <c r="B139" t="str">
        <f>IFERROR(IF(0=LEN(ReferenceData!$B$139),"",ReferenceData!$B$139),"")</f>
        <v>PNC US Equity</v>
      </c>
      <c r="C139" t="str">
        <f>IFERROR(IF(0=LEN(ReferenceData!$C$139),"",ReferenceData!$C$139),"")</f>
        <v>BS965</v>
      </c>
      <c r="D139" t="str">
        <f>IFERROR(IF(0=LEN(ReferenceData!$D$139),"",ReferenceData!$D$139),"")</f>
        <v>BS_COMML_MTG_SERVICING_PORTFOLIO</v>
      </c>
      <c r="E139" t="str">
        <f>IFERROR(IF(0=LEN(ReferenceData!$E$139),"",ReferenceData!$E$139),"")</f>
        <v>Dynamic</v>
      </c>
      <c r="F139" t="str">
        <f ca="1">IFERROR(IF(0=LEN(ReferenceData!$F$139),"",ReferenceData!$F$139),"")</f>
        <v/>
      </c>
      <c r="G139" t="str">
        <f ca="1">IFERROR(IF(0=LEN(ReferenceData!$G$139),"",ReferenceData!$G$139),"")</f>
        <v/>
      </c>
      <c r="H139" t="str">
        <f ca="1">IFERROR(IF(0=LEN(ReferenceData!$H$139),"",ReferenceData!$H$139),"")</f>
        <v/>
      </c>
      <c r="I139" t="str">
        <f ca="1">IFERROR(IF(0=LEN(ReferenceData!$I$139),"",ReferenceData!$I$139),"")</f>
        <v/>
      </c>
      <c r="J139" t="str">
        <f ca="1">IFERROR(IF(0=LEN(ReferenceData!$J$139),"",ReferenceData!$J$139),"")</f>
        <v/>
      </c>
      <c r="K139" t="str">
        <f ca="1">IFERROR(IF(0=LEN(ReferenceData!$K$139),"",ReferenceData!$K$139),"")</f>
        <v/>
      </c>
      <c r="L139" t="str">
        <f ca="1">IFERROR(IF(0=LEN(ReferenceData!$L$139),"",ReferenceData!$L$139),"")</f>
        <v/>
      </c>
      <c r="M139" t="str">
        <f ca="1">IFERROR(IF(0=LEN(ReferenceData!$M$139),"",ReferenceData!$M$139),"")</f>
        <v/>
      </c>
      <c r="N139" t="str">
        <f ca="1">IFERROR(IF(0=LEN(ReferenceData!$N$139),"",ReferenceData!$N$139),"")</f>
        <v/>
      </c>
      <c r="O139" t="str">
        <f ca="1">IFERROR(IF(0=LEN(ReferenceData!$O$139),"",ReferenceData!$O$139),"")</f>
        <v/>
      </c>
      <c r="P139" t="str">
        <f ca="1">IFERROR(IF(0=LEN(ReferenceData!$P$139),"",ReferenceData!$P$139),"")</f>
        <v/>
      </c>
      <c r="Q139" t="str">
        <f ca="1">IFERROR(IF(0=LEN(ReferenceData!$Q$139),"",ReferenceData!$Q$139),"")</f>
        <v/>
      </c>
      <c r="R139" t="str">
        <f ca="1">IFERROR(IF(0=LEN(ReferenceData!$R$139),"",ReferenceData!$R$139),"")</f>
        <v/>
      </c>
      <c r="S139" t="str">
        <f ca="1">IFERROR(IF(0=LEN(ReferenceData!$S$139),"",ReferenceData!$S$139),"")</f>
        <v/>
      </c>
      <c r="T139" t="str">
        <f ca="1">IFERROR(IF(0=LEN(ReferenceData!$T$139),"",ReferenceData!$T$139),"")</f>
        <v/>
      </c>
      <c r="U139" t="str">
        <f ca="1">IFERROR(IF(0=LEN(ReferenceData!$U$139),"",ReferenceData!$U$139),"")</f>
        <v/>
      </c>
      <c r="V139" t="str">
        <f ca="1">IFERROR(IF(0=LEN(ReferenceData!$V$139),"",ReferenceData!$V$139),"")</f>
        <v/>
      </c>
      <c r="W139" t="str">
        <f ca="1">IFERROR(IF(0=LEN(ReferenceData!$W$139),"",ReferenceData!$W$139),"")</f>
        <v/>
      </c>
      <c r="X139" t="str">
        <f ca="1">IFERROR(IF(0=LEN(ReferenceData!$X$139),"",ReferenceData!$X$139),"")</f>
        <v/>
      </c>
      <c r="Y139" t="str">
        <f ca="1">IFERROR(IF(0=LEN(ReferenceData!$Y$139),"",ReferenceData!$Y$139),"")</f>
        <v/>
      </c>
      <c r="Z139" t="str">
        <f ca="1">IFERROR(IF(0=LEN(ReferenceData!$Z$139),"",ReferenceData!$Z$139),"")</f>
        <v/>
      </c>
      <c r="AA139" t="str">
        <f ca="1">IFERROR(IF(0=LEN(ReferenceData!$AA$139),"",ReferenceData!$AA$139),"")</f>
        <v/>
      </c>
      <c r="AB139" t="str">
        <f ca="1">IFERROR(IF(0=LEN(ReferenceData!$AB$139),"",ReferenceData!$AB$139),"")</f>
        <v/>
      </c>
      <c r="AC139" t="str">
        <f ca="1">IFERROR(IF(0=LEN(ReferenceData!$AC$139),"",ReferenceData!$AC$139),"")</f>
        <v/>
      </c>
      <c r="AD139" t="str">
        <f ca="1">IFERROR(IF(0=LEN(ReferenceData!$AD$139),"",ReferenceData!$AD$139),"")</f>
        <v/>
      </c>
      <c r="AE139" t="str">
        <f ca="1">IFERROR(IF(0=LEN(ReferenceData!$AE$139),"",ReferenceData!$AE$139),"")</f>
        <v/>
      </c>
      <c r="AF139" t="str">
        <f ca="1">IFERROR(IF(0=LEN(ReferenceData!$AF$139),"",ReferenceData!$AF$139),"")</f>
        <v/>
      </c>
      <c r="AG139" t="str">
        <f ca="1">IFERROR(IF(0=LEN(ReferenceData!$AG$139),"",ReferenceData!$AG$139),"")</f>
        <v/>
      </c>
      <c r="AH139" t="str">
        <f ca="1">IFERROR(IF(0=LEN(ReferenceData!$AH$139),"",ReferenceData!$AH$139),"")</f>
        <v/>
      </c>
      <c r="AI139">
        <f ca="1">IFERROR(IF(0=LEN(ReferenceData!$AI$139),"",ReferenceData!$AI$139),"")</f>
        <v>513000</v>
      </c>
      <c r="AJ139">
        <f ca="1">IFERROR(IF(0=LEN(ReferenceData!$AJ$139),"",ReferenceData!$AJ$139),"")</f>
        <v>502000</v>
      </c>
      <c r="AK139">
        <f ca="1">IFERROR(IF(0=LEN(ReferenceData!$AK$139),"",ReferenceData!$AK$139),"")</f>
        <v>490000</v>
      </c>
      <c r="AL139" t="str">
        <f ca="1">IFERROR(IF(0=LEN(ReferenceData!$AL$139),"",ReferenceData!$AL$139),"")</f>
        <v/>
      </c>
      <c r="AM139">
        <f ca="1">IFERROR(IF(0=LEN(ReferenceData!$AM$139),"",ReferenceData!$AM$139),"")</f>
        <v>461000</v>
      </c>
      <c r="AN139">
        <f ca="1">IFERROR(IF(0=LEN(ReferenceData!$AN$139),"",ReferenceData!$AN$139),"")</f>
        <v>459000</v>
      </c>
      <c r="AO139">
        <f ca="1">IFERROR(IF(0=LEN(ReferenceData!$AO$139),"",ReferenceData!$AO$139),"")</f>
        <v>453000</v>
      </c>
      <c r="AP139">
        <f ca="1">IFERROR(IF(0=LEN(ReferenceData!$AP$139),"",ReferenceData!$AP$139),"")</f>
        <v>447000</v>
      </c>
      <c r="AQ139">
        <f ca="1">IFERROR(IF(0=LEN(ReferenceData!$AQ$139),"",ReferenceData!$AQ$139),"")</f>
        <v>441000</v>
      </c>
      <c r="AR139">
        <f ca="1">IFERROR(IF(0=LEN(ReferenceData!$AR$139),"",ReferenceData!$AR$139),"")</f>
        <v>436000</v>
      </c>
      <c r="AS139">
        <f ca="1">IFERROR(IF(0=LEN(ReferenceData!$AS$139),"",ReferenceData!$AS$139),"")</f>
        <v>390000</v>
      </c>
      <c r="AT139">
        <f ca="1">IFERROR(IF(0=LEN(ReferenceData!$AT$139),"",ReferenceData!$AT$139),"")</f>
        <v>336000</v>
      </c>
      <c r="AU139">
        <f ca="1">IFERROR(IF(0=LEN(ReferenceData!$AU$139),"",ReferenceData!$AU$139),"")</f>
        <v>363000</v>
      </c>
      <c r="AV139">
        <f ca="1">IFERROR(IF(0=LEN(ReferenceData!$AV$139),"",ReferenceData!$AV$139),"")</f>
        <v>353000</v>
      </c>
      <c r="AW139">
        <f ca="1">IFERROR(IF(0=LEN(ReferenceData!$AW$139),"",ReferenceData!$AW$139),"")</f>
        <v>313000</v>
      </c>
      <c r="AX139">
        <f ca="1">IFERROR(IF(0=LEN(ReferenceData!$AX$139),"",ReferenceData!$AX$139),"")</f>
        <v>347000</v>
      </c>
      <c r="AY139">
        <f ca="1">IFERROR(IF(0=LEN(ReferenceData!$AY$139),"",ReferenceData!$AY$139),"")</f>
        <v>298000</v>
      </c>
      <c r="AZ139">
        <f ca="1">IFERROR(IF(0=LEN(ReferenceData!$AZ$139),"",ReferenceData!$AZ$139),"")</f>
        <v>294000</v>
      </c>
      <c r="BA139">
        <f ca="1">IFERROR(IF(0=LEN(ReferenceData!$BA$139),"",ReferenceData!$BA$139),"")</f>
        <v>290000</v>
      </c>
      <c r="BB139">
        <f ca="1">IFERROR(IF(0=LEN(ReferenceData!$BB$139),"",ReferenceData!$BB$139),"")</f>
        <v>282000</v>
      </c>
      <c r="BC139">
        <f ca="1">IFERROR(IF(0=LEN(ReferenceData!$BC$139),"",ReferenceData!$BC$139),"")</f>
        <v>265000</v>
      </c>
      <c r="BD139">
        <f ca="1">IFERROR(IF(0=LEN(ReferenceData!$BD$139),"",ReferenceData!$BD$139),"")</f>
        <v>264000</v>
      </c>
      <c r="BE139">
        <f ca="1">IFERROR(IF(0=LEN(ReferenceData!$BE$139),"",ReferenceData!$BE$139),"")</f>
        <v>268000</v>
      </c>
      <c r="BF139">
        <f ca="1">IFERROR(IF(0=LEN(ReferenceData!$BF$139),"",ReferenceData!$BF$139),"")</f>
        <v>267000</v>
      </c>
      <c r="BG139">
        <f ca="1">IFERROR(IF(0=LEN(ReferenceData!$BG$139),"",ReferenceData!$BG$139),"")</f>
        <v>267000</v>
      </c>
      <c r="BH139">
        <f ca="1">IFERROR(IF(0=LEN(ReferenceData!$BH$139),"",ReferenceData!$BH$139),"")</f>
        <v>268000</v>
      </c>
      <c r="BI139">
        <f ca="1">IFERROR(IF(0=LEN(ReferenceData!$BI$139),"",ReferenceData!$BI$139),"")</f>
        <v>266000</v>
      </c>
      <c r="BJ139">
        <f ca="1">IFERROR(IF(0=LEN(ReferenceData!$BJ$139),"",ReferenceData!$BJ$139),"")</f>
        <v>266000</v>
      </c>
      <c r="BK139">
        <f ca="1">IFERROR(IF(0=LEN(ReferenceData!$BK$139),"",ReferenceData!$BK$139),"")</f>
        <v>263000</v>
      </c>
      <c r="BL139">
        <f ca="1">IFERROR(IF(0=LEN(ReferenceData!$BL$139),"",ReferenceData!$BL$139),"")</f>
        <v>265000</v>
      </c>
      <c r="BM139">
        <f ca="1">IFERROR(IF(0=LEN(ReferenceData!$BM$139),"",ReferenceData!$BM$139),"")</f>
        <v>282000</v>
      </c>
    </row>
    <row r="140" spans="1:65">
      <c r="A140" t="str">
        <f>IFERROR(IF(0=LEN(ReferenceData!$A$140),"",ReferenceData!$A$140),"")</f>
        <v xml:space="preserve">    Regions Financial Corp</v>
      </c>
      <c r="B140" t="str">
        <f>IFERROR(IF(0=LEN(ReferenceData!$B$140),"",ReferenceData!$B$140),"")</f>
        <v>RF US Equity</v>
      </c>
      <c r="C140" t="str">
        <f>IFERROR(IF(0=LEN(ReferenceData!$C$140),"",ReferenceData!$C$140),"")</f>
        <v>BS965</v>
      </c>
      <c r="D140" t="str">
        <f>IFERROR(IF(0=LEN(ReferenceData!$D$140),"",ReferenceData!$D$140),"")</f>
        <v>BS_COMML_MTG_SERVICING_PORTFOLIO</v>
      </c>
      <c r="E140" t="str">
        <f>IFERROR(IF(0=LEN(ReferenceData!$E$140),"",ReferenceData!$E$140),"")</f>
        <v>Dynamic</v>
      </c>
      <c r="F140" t="str">
        <f ca="1">IFERROR(IF(0=LEN(ReferenceData!$F$140),"",ReferenceData!$F$140),"")</f>
        <v/>
      </c>
      <c r="G140" t="str">
        <f ca="1">IFERROR(IF(0=LEN(ReferenceData!$G$140),"",ReferenceData!$G$140),"")</f>
        <v/>
      </c>
      <c r="H140" t="str">
        <f ca="1">IFERROR(IF(0=LEN(ReferenceData!$H$140),"",ReferenceData!$H$140),"")</f>
        <v/>
      </c>
      <c r="I140" t="str">
        <f ca="1">IFERROR(IF(0=LEN(ReferenceData!$I$140),"",ReferenceData!$I$140),"")</f>
        <v/>
      </c>
      <c r="J140" t="str">
        <f ca="1">IFERROR(IF(0=LEN(ReferenceData!$J$140),"",ReferenceData!$J$140),"")</f>
        <v/>
      </c>
      <c r="K140" t="str">
        <f ca="1">IFERROR(IF(0=LEN(ReferenceData!$K$140),"",ReferenceData!$K$140),"")</f>
        <v/>
      </c>
      <c r="L140" t="str">
        <f ca="1">IFERROR(IF(0=LEN(ReferenceData!$L$140),"",ReferenceData!$L$140),"")</f>
        <v/>
      </c>
      <c r="M140" t="str">
        <f ca="1">IFERROR(IF(0=LEN(ReferenceData!$M$140),"",ReferenceData!$M$140),"")</f>
        <v/>
      </c>
      <c r="N140" t="str">
        <f ca="1">IFERROR(IF(0=LEN(ReferenceData!$N$140),"",ReferenceData!$N$140),"")</f>
        <v/>
      </c>
      <c r="O140" t="str">
        <f ca="1">IFERROR(IF(0=LEN(ReferenceData!$O$140),"",ReferenceData!$O$140),"")</f>
        <v/>
      </c>
      <c r="P140" t="str">
        <f ca="1">IFERROR(IF(0=LEN(ReferenceData!$P$140),"",ReferenceData!$P$140),"")</f>
        <v/>
      </c>
      <c r="Q140" t="str">
        <f ca="1">IFERROR(IF(0=LEN(ReferenceData!$Q$140),"",ReferenceData!$Q$140),"")</f>
        <v/>
      </c>
      <c r="R140" t="str">
        <f ca="1">IFERROR(IF(0=LEN(ReferenceData!$R$140),"",ReferenceData!$R$140),"")</f>
        <v/>
      </c>
      <c r="S140" t="str">
        <f ca="1">IFERROR(IF(0=LEN(ReferenceData!$S$140),"",ReferenceData!$S$140),"")</f>
        <v/>
      </c>
      <c r="T140" t="str">
        <f ca="1">IFERROR(IF(0=LEN(ReferenceData!$T$140),"",ReferenceData!$T$140),"")</f>
        <v/>
      </c>
      <c r="U140" t="str">
        <f ca="1">IFERROR(IF(0=LEN(ReferenceData!$U$140),"",ReferenceData!$U$140),"")</f>
        <v/>
      </c>
      <c r="V140" t="str">
        <f ca="1">IFERROR(IF(0=LEN(ReferenceData!$V$140),"",ReferenceData!$V$140),"")</f>
        <v/>
      </c>
      <c r="W140" t="str">
        <f ca="1">IFERROR(IF(0=LEN(ReferenceData!$W$140),"",ReferenceData!$W$140),"")</f>
        <v/>
      </c>
      <c r="X140" t="str">
        <f ca="1">IFERROR(IF(0=LEN(ReferenceData!$X$140),"",ReferenceData!$X$140),"")</f>
        <v/>
      </c>
      <c r="Y140" t="str">
        <f ca="1">IFERROR(IF(0=LEN(ReferenceData!$Y$140),"",ReferenceData!$Y$140),"")</f>
        <v/>
      </c>
      <c r="Z140" t="str">
        <f ca="1">IFERROR(IF(0=LEN(ReferenceData!$Z$140),"",ReferenceData!$Z$140),"")</f>
        <v/>
      </c>
      <c r="AA140" t="str">
        <f ca="1">IFERROR(IF(0=LEN(ReferenceData!$AA$140),"",ReferenceData!$AA$140),"")</f>
        <v/>
      </c>
      <c r="AB140" t="str">
        <f ca="1">IFERROR(IF(0=LEN(ReferenceData!$AB$140),"",ReferenceData!$AB$140),"")</f>
        <v/>
      </c>
      <c r="AC140" t="str">
        <f ca="1">IFERROR(IF(0=LEN(ReferenceData!$AC$140),"",ReferenceData!$AC$140),"")</f>
        <v/>
      </c>
      <c r="AD140" t="str">
        <f ca="1">IFERROR(IF(0=LEN(ReferenceData!$AD$140),"",ReferenceData!$AD$140),"")</f>
        <v/>
      </c>
      <c r="AE140" t="str">
        <f ca="1">IFERROR(IF(0=LEN(ReferenceData!$AE$140),"",ReferenceData!$AE$140),"")</f>
        <v/>
      </c>
      <c r="AF140" t="str">
        <f ca="1">IFERROR(IF(0=LEN(ReferenceData!$AF$140),"",ReferenceData!$AF$140),"")</f>
        <v/>
      </c>
      <c r="AG140" t="str">
        <f ca="1">IFERROR(IF(0=LEN(ReferenceData!$AG$140),"",ReferenceData!$AG$140),"")</f>
        <v/>
      </c>
      <c r="AH140" t="str">
        <f ca="1">IFERROR(IF(0=LEN(ReferenceData!$AH$140),"",ReferenceData!$AH$140),"")</f>
        <v/>
      </c>
      <c r="AI140" t="str">
        <f ca="1">IFERROR(IF(0=LEN(ReferenceData!$AI$140),"",ReferenceData!$AI$140),"")</f>
        <v/>
      </c>
      <c r="AJ140" t="str">
        <f ca="1">IFERROR(IF(0=LEN(ReferenceData!$AJ$140),"",ReferenceData!$AJ$140),"")</f>
        <v/>
      </c>
      <c r="AK140" t="str">
        <f ca="1">IFERROR(IF(0=LEN(ReferenceData!$AK$140),"",ReferenceData!$AK$140),"")</f>
        <v/>
      </c>
      <c r="AL140" t="str">
        <f ca="1">IFERROR(IF(0=LEN(ReferenceData!$AL$140),"",ReferenceData!$AL$140),"")</f>
        <v/>
      </c>
      <c r="AM140" t="str">
        <f ca="1">IFERROR(IF(0=LEN(ReferenceData!$AM$140),"",ReferenceData!$AM$140),"")</f>
        <v/>
      </c>
      <c r="AN140" t="str">
        <f ca="1">IFERROR(IF(0=LEN(ReferenceData!$AN$140),"",ReferenceData!$AN$140),"")</f>
        <v/>
      </c>
      <c r="AO140" t="str">
        <f ca="1">IFERROR(IF(0=LEN(ReferenceData!$AO$140),"",ReferenceData!$AO$140),"")</f>
        <v/>
      </c>
      <c r="AP140" t="str">
        <f ca="1">IFERROR(IF(0=LEN(ReferenceData!$AP$140),"",ReferenceData!$AP$140),"")</f>
        <v/>
      </c>
      <c r="AQ140" t="str">
        <f ca="1">IFERROR(IF(0=LEN(ReferenceData!$AQ$140),"",ReferenceData!$AQ$140),"")</f>
        <v/>
      </c>
      <c r="AR140" t="str">
        <f ca="1">IFERROR(IF(0=LEN(ReferenceData!$AR$140),"",ReferenceData!$AR$140),"")</f>
        <v/>
      </c>
      <c r="AS140" t="str">
        <f ca="1">IFERROR(IF(0=LEN(ReferenceData!$AS$140),"",ReferenceData!$AS$140),"")</f>
        <v/>
      </c>
      <c r="AT140" t="str">
        <f ca="1">IFERROR(IF(0=LEN(ReferenceData!$AT$140),"",ReferenceData!$AT$140),"")</f>
        <v/>
      </c>
      <c r="AU140" t="str">
        <f ca="1">IFERROR(IF(0=LEN(ReferenceData!$AU$140),"",ReferenceData!$AU$140),"")</f>
        <v/>
      </c>
      <c r="AV140" t="str">
        <f ca="1">IFERROR(IF(0=LEN(ReferenceData!$AV$140),"",ReferenceData!$AV$140),"")</f>
        <v/>
      </c>
      <c r="AW140" t="str">
        <f ca="1">IFERROR(IF(0=LEN(ReferenceData!$AW$140),"",ReferenceData!$AW$140),"")</f>
        <v/>
      </c>
      <c r="AX140" t="str">
        <f ca="1">IFERROR(IF(0=LEN(ReferenceData!$AX$140),"",ReferenceData!$AX$140),"")</f>
        <v/>
      </c>
      <c r="AY140" t="str">
        <f ca="1">IFERROR(IF(0=LEN(ReferenceData!$AY$140),"",ReferenceData!$AY$140),"")</f>
        <v/>
      </c>
      <c r="AZ140" t="str">
        <f ca="1">IFERROR(IF(0=LEN(ReferenceData!$AZ$140),"",ReferenceData!$AZ$140),"")</f>
        <v/>
      </c>
      <c r="BA140" t="str">
        <f ca="1">IFERROR(IF(0=LEN(ReferenceData!$BA$140),"",ReferenceData!$BA$140),"")</f>
        <v/>
      </c>
      <c r="BB140" t="str">
        <f ca="1">IFERROR(IF(0=LEN(ReferenceData!$BB$140),"",ReferenceData!$BB$140),"")</f>
        <v/>
      </c>
      <c r="BC140" t="str">
        <f ca="1">IFERROR(IF(0=LEN(ReferenceData!$BC$140),"",ReferenceData!$BC$140),"")</f>
        <v/>
      </c>
      <c r="BD140" t="str">
        <f ca="1">IFERROR(IF(0=LEN(ReferenceData!$BD$140),"",ReferenceData!$BD$140),"")</f>
        <v/>
      </c>
      <c r="BE140" t="str">
        <f ca="1">IFERROR(IF(0=LEN(ReferenceData!$BE$140),"",ReferenceData!$BE$140),"")</f>
        <v/>
      </c>
      <c r="BF140" t="str">
        <f ca="1">IFERROR(IF(0=LEN(ReferenceData!$BF$140),"",ReferenceData!$BF$140),"")</f>
        <v/>
      </c>
      <c r="BG140" t="str">
        <f ca="1">IFERROR(IF(0=LEN(ReferenceData!$BG$140),"",ReferenceData!$BG$140),"")</f>
        <v/>
      </c>
      <c r="BH140" t="str">
        <f ca="1">IFERROR(IF(0=LEN(ReferenceData!$BH$140),"",ReferenceData!$BH$140),"")</f>
        <v/>
      </c>
      <c r="BI140" t="str">
        <f ca="1">IFERROR(IF(0=LEN(ReferenceData!$BI$140),"",ReferenceData!$BI$140),"")</f>
        <v/>
      </c>
      <c r="BJ140" t="str">
        <f ca="1">IFERROR(IF(0=LEN(ReferenceData!$BJ$140),"",ReferenceData!$BJ$140),"")</f>
        <v/>
      </c>
      <c r="BK140" t="str">
        <f ca="1">IFERROR(IF(0=LEN(ReferenceData!$BK$140),"",ReferenceData!$BK$140),"")</f>
        <v/>
      </c>
      <c r="BL140" t="str">
        <f ca="1">IFERROR(IF(0=LEN(ReferenceData!$BL$140),"",ReferenceData!$BL$140),"")</f>
        <v/>
      </c>
      <c r="BM140" t="str">
        <f ca="1">IFERROR(IF(0=LEN(ReferenceData!$BM$140),"",ReferenceData!$BM$140),"")</f>
        <v/>
      </c>
    </row>
    <row r="141" spans="1:65">
      <c r="A141" t="str">
        <f>IFERROR(IF(0=LEN(ReferenceData!$A$141),"",ReferenceData!$A$141),"")</f>
        <v xml:space="preserve">    Signature Bank/New York NY</v>
      </c>
      <c r="B141" t="str">
        <f>IFERROR(IF(0=LEN(ReferenceData!$B$141),"",ReferenceData!$B$141),"")</f>
        <v>SBNY US Equity</v>
      </c>
      <c r="C141" t="str">
        <f>IFERROR(IF(0=LEN(ReferenceData!$C$141),"",ReferenceData!$C$141),"")</f>
        <v>BS965</v>
      </c>
      <c r="D141" t="str">
        <f>IFERROR(IF(0=LEN(ReferenceData!$D$141),"",ReferenceData!$D$141),"")</f>
        <v>BS_COMML_MTG_SERVICING_PORTFOLIO</v>
      </c>
      <c r="E141" t="str">
        <f>IFERROR(IF(0=LEN(ReferenceData!$E$141),"",ReferenceData!$E$141),"")</f>
        <v>Dynamic</v>
      </c>
      <c r="F141" t="str">
        <f ca="1">IFERROR(IF(0=LEN(ReferenceData!$F$141),"",ReferenceData!$F$141),"")</f>
        <v/>
      </c>
      <c r="G141" t="str">
        <f ca="1">IFERROR(IF(0=LEN(ReferenceData!$G$141),"",ReferenceData!$G$141),"")</f>
        <v/>
      </c>
      <c r="H141" t="str">
        <f ca="1">IFERROR(IF(0=LEN(ReferenceData!$H$141),"",ReferenceData!$H$141),"")</f>
        <v/>
      </c>
      <c r="I141" t="str">
        <f ca="1">IFERROR(IF(0=LEN(ReferenceData!$I$141),"",ReferenceData!$I$141),"")</f>
        <v/>
      </c>
      <c r="J141" t="str">
        <f ca="1">IFERROR(IF(0=LEN(ReferenceData!$J$141),"",ReferenceData!$J$141),"")</f>
        <v/>
      </c>
      <c r="K141" t="str">
        <f ca="1">IFERROR(IF(0=LEN(ReferenceData!$K$141),"",ReferenceData!$K$141),"")</f>
        <v/>
      </c>
      <c r="L141" t="str">
        <f ca="1">IFERROR(IF(0=LEN(ReferenceData!$L$141),"",ReferenceData!$L$141),"")</f>
        <v/>
      </c>
      <c r="M141" t="str">
        <f ca="1">IFERROR(IF(0=LEN(ReferenceData!$M$141),"",ReferenceData!$M$141),"")</f>
        <v/>
      </c>
      <c r="N141" t="str">
        <f ca="1">IFERROR(IF(0=LEN(ReferenceData!$N$141),"",ReferenceData!$N$141),"")</f>
        <v/>
      </c>
      <c r="O141" t="str">
        <f ca="1">IFERROR(IF(0=LEN(ReferenceData!$O$141),"",ReferenceData!$O$141),"")</f>
        <v/>
      </c>
      <c r="P141" t="str">
        <f ca="1">IFERROR(IF(0=LEN(ReferenceData!$P$141),"",ReferenceData!$P$141),"")</f>
        <v/>
      </c>
      <c r="Q141" t="str">
        <f ca="1">IFERROR(IF(0=LEN(ReferenceData!$Q$141),"",ReferenceData!$Q$141),"")</f>
        <v/>
      </c>
      <c r="R141" t="str">
        <f ca="1">IFERROR(IF(0=LEN(ReferenceData!$R$141),"",ReferenceData!$R$141),"")</f>
        <v/>
      </c>
      <c r="S141" t="str">
        <f ca="1">IFERROR(IF(0=LEN(ReferenceData!$S$141),"",ReferenceData!$S$141),"")</f>
        <v/>
      </c>
      <c r="T141" t="str">
        <f ca="1">IFERROR(IF(0=LEN(ReferenceData!$T$141),"",ReferenceData!$T$141),"")</f>
        <v/>
      </c>
      <c r="U141" t="str">
        <f ca="1">IFERROR(IF(0=LEN(ReferenceData!$U$141),"",ReferenceData!$U$141),"")</f>
        <v/>
      </c>
      <c r="V141" t="str">
        <f ca="1">IFERROR(IF(0=LEN(ReferenceData!$V$141),"",ReferenceData!$V$141),"")</f>
        <v/>
      </c>
      <c r="W141" t="str">
        <f ca="1">IFERROR(IF(0=LEN(ReferenceData!$W$141),"",ReferenceData!$W$141),"")</f>
        <v/>
      </c>
      <c r="X141" t="str">
        <f ca="1">IFERROR(IF(0=LEN(ReferenceData!$X$141),"",ReferenceData!$X$141),"")</f>
        <v/>
      </c>
      <c r="Y141" t="str">
        <f ca="1">IFERROR(IF(0=LEN(ReferenceData!$Y$141),"",ReferenceData!$Y$141),"")</f>
        <v/>
      </c>
      <c r="Z141" t="str">
        <f ca="1">IFERROR(IF(0=LEN(ReferenceData!$Z$141),"",ReferenceData!$Z$141),"")</f>
        <v/>
      </c>
      <c r="AA141" t="str">
        <f ca="1">IFERROR(IF(0=LEN(ReferenceData!$AA$141),"",ReferenceData!$AA$141),"")</f>
        <v/>
      </c>
      <c r="AB141" t="str">
        <f ca="1">IFERROR(IF(0=LEN(ReferenceData!$AB$141),"",ReferenceData!$AB$141),"")</f>
        <v/>
      </c>
      <c r="AC141" t="str">
        <f ca="1">IFERROR(IF(0=LEN(ReferenceData!$AC$141),"",ReferenceData!$AC$141),"")</f>
        <v/>
      </c>
      <c r="AD141" t="str">
        <f ca="1">IFERROR(IF(0=LEN(ReferenceData!$AD$141),"",ReferenceData!$AD$141),"")</f>
        <v/>
      </c>
      <c r="AE141" t="str">
        <f ca="1">IFERROR(IF(0=LEN(ReferenceData!$AE$141),"",ReferenceData!$AE$141),"")</f>
        <v/>
      </c>
      <c r="AF141" t="str">
        <f ca="1">IFERROR(IF(0=LEN(ReferenceData!$AF$141),"",ReferenceData!$AF$141),"")</f>
        <v/>
      </c>
      <c r="AG141" t="str">
        <f ca="1">IFERROR(IF(0=LEN(ReferenceData!$AG$141),"",ReferenceData!$AG$141),"")</f>
        <v/>
      </c>
      <c r="AH141" t="str">
        <f ca="1">IFERROR(IF(0=LEN(ReferenceData!$AH$141),"",ReferenceData!$AH$141),"")</f>
        <v/>
      </c>
      <c r="AI141" t="str">
        <f ca="1">IFERROR(IF(0=LEN(ReferenceData!$AI$141),"",ReferenceData!$AI$141),"")</f>
        <v/>
      </c>
      <c r="AJ141" t="str">
        <f ca="1">IFERROR(IF(0=LEN(ReferenceData!$AJ$141),"",ReferenceData!$AJ$141),"")</f>
        <v/>
      </c>
      <c r="AK141" t="str">
        <f ca="1">IFERROR(IF(0=LEN(ReferenceData!$AK$141),"",ReferenceData!$AK$141),"")</f>
        <v/>
      </c>
      <c r="AL141" t="str">
        <f ca="1">IFERROR(IF(0=LEN(ReferenceData!$AL$141),"",ReferenceData!$AL$141),"")</f>
        <v/>
      </c>
      <c r="AM141" t="str">
        <f ca="1">IFERROR(IF(0=LEN(ReferenceData!$AM$141),"",ReferenceData!$AM$141),"")</f>
        <v/>
      </c>
      <c r="AN141" t="str">
        <f ca="1">IFERROR(IF(0=LEN(ReferenceData!$AN$141),"",ReferenceData!$AN$141),"")</f>
        <v/>
      </c>
      <c r="AO141" t="str">
        <f ca="1">IFERROR(IF(0=LEN(ReferenceData!$AO$141),"",ReferenceData!$AO$141),"")</f>
        <v/>
      </c>
      <c r="AP141" t="str">
        <f ca="1">IFERROR(IF(0=LEN(ReferenceData!$AP$141),"",ReferenceData!$AP$141),"")</f>
        <v/>
      </c>
      <c r="AQ141" t="str">
        <f ca="1">IFERROR(IF(0=LEN(ReferenceData!$AQ$141),"",ReferenceData!$AQ$141),"")</f>
        <v/>
      </c>
      <c r="AR141" t="str">
        <f ca="1">IFERROR(IF(0=LEN(ReferenceData!$AR$141),"",ReferenceData!$AR$141),"")</f>
        <v/>
      </c>
      <c r="AS141" t="str">
        <f ca="1">IFERROR(IF(0=LEN(ReferenceData!$AS$141),"",ReferenceData!$AS$141),"")</f>
        <v/>
      </c>
      <c r="AT141" t="str">
        <f ca="1">IFERROR(IF(0=LEN(ReferenceData!$AT$141),"",ReferenceData!$AT$141),"")</f>
        <v/>
      </c>
      <c r="AU141" t="str">
        <f ca="1">IFERROR(IF(0=LEN(ReferenceData!$AU$141),"",ReferenceData!$AU$141),"")</f>
        <v/>
      </c>
      <c r="AV141" t="str">
        <f ca="1">IFERROR(IF(0=LEN(ReferenceData!$AV$141),"",ReferenceData!$AV$141),"")</f>
        <v/>
      </c>
      <c r="AW141" t="str">
        <f ca="1">IFERROR(IF(0=LEN(ReferenceData!$AW$141),"",ReferenceData!$AW$141),"")</f>
        <v/>
      </c>
      <c r="AX141" t="str">
        <f ca="1">IFERROR(IF(0=LEN(ReferenceData!$AX$141),"",ReferenceData!$AX$141),"")</f>
        <v/>
      </c>
      <c r="AY141" t="str">
        <f ca="1">IFERROR(IF(0=LEN(ReferenceData!$AY$141),"",ReferenceData!$AY$141),"")</f>
        <v/>
      </c>
      <c r="AZ141" t="str">
        <f ca="1">IFERROR(IF(0=LEN(ReferenceData!$AZ$141),"",ReferenceData!$AZ$141),"")</f>
        <v/>
      </c>
      <c r="BA141" t="str">
        <f ca="1">IFERROR(IF(0=LEN(ReferenceData!$BA$141),"",ReferenceData!$BA$141),"")</f>
        <v/>
      </c>
      <c r="BB141" t="str">
        <f ca="1">IFERROR(IF(0=LEN(ReferenceData!$BB$141),"",ReferenceData!$BB$141),"")</f>
        <v/>
      </c>
      <c r="BC141" t="str">
        <f ca="1">IFERROR(IF(0=LEN(ReferenceData!$BC$141),"",ReferenceData!$BC$141),"")</f>
        <v/>
      </c>
      <c r="BD141" t="str">
        <f ca="1">IFERROR(IF(0=LEN(ReferenceData!$BD$141),"",ReferenceData!$BD$141),"")</f>
        <v/>
      </c>
      <c r="BE141" t="str">
        <f ca="1">IFERROR(IF(0=LEN(ReferenceData!$BE$141),"",ReferenceData!$BE$141),"")</f>
        <v/>
      </c>
      <c r="BF141" t="str">
        <f ca="1">IFERROR(IF(0=LEN(ReferenceData!$BF$141),"",ReferenceData!$BF$141),"")</f>
        <v/>
      </c>
      <c r="BG141" t="str">
        <f ca="1">IFERROR(IF(0=LEN(ReferenceData!$BG$141),"",ReferenceData!$BG$141),"")</f>
        <v/>
      </c>
      <c r="BH141" t="str">
        <f ca="1">IFERROR(IF(0=LEN(ReferenceData!$BH$141),"",ReferenceData!$BH$141),"")</f>
        <v/>
      </c>
      <c r="BI141" t="str">
        <f ca="1">IFERROR(IF(0=LEN(ReferenceData!$BI$141),"",ReferenceData!$BI$141),"")</f>
        <v/>
      </c>
      <c r="BJ141" t="str">
        <f ca="1">IFERROR(IF(0=LEN(ReferenceData!$BJ$141),"",ReferenceData!$BJ$141),"")</f>
        <v/>
      </c>
      <c r="BK141" t="str">
        <f ca="1">IFERROR(IF(0=LEN(ReferenceData!$BK$141),"",ReferenceData!$BK$141),"")</f>
        <v/>
      </c>
      <c r="BL141" t="str">
        <f ca="1">IFERROR(IF(0=LEN(ReferenceData!$BL$141),"",ReferenceData!$BL$141),"")</f>
        <v/>
      </c>
      <c r="BM141" t="str">
        <f ca="1">IFERROR(IF(0=LEN(ReferenceData!$BM$141),"",ReferenceData!$BM$141),"")</f>
        <v/>
      </c>
    </row>
    <row r="142" spans="1:65">
      <c r="A142" t="str">
        <f>IFERROR(IF(0=LEN(ReferenceData!$A$142),"",ReferenceData!$A$142),"")</f>
        <v xml:space="preserve">    SVB Financial Group</v>
      </c>
      <c r="B142" t="str">
        <f>IFERROR(IF(0=LEN(ReferenceData!$B$142),"",ReferenceData!$B$142),"")</f>
        <v>SIVBQ US Equity</v>
      </c>
      <c r="C142" t="str">
        <f>IFERROR(IF(0=LEN(ReferenceData!$C$142),"",ReferenceData!$C$142),"")</f>
        <v>BS965</v>
      </c>
      <c r="D142" t="str">
        <f>IFERROR(IF(0=LEN(ReferenceData!$D$142),"",ReferenceData!$D$142),"")</f>
        <v>BS_COMML_MTG_SERVICING_PORTFOLIO</v>
      </c>
      <c r="E142" t="str">
        <f>IFERROR(IF(0=LEN(ReferenceData!$E$142),"",ReferenceData!$E$142),"")</f>
        <v>Dynamic</v>
      </c>
      <c r="F142" t="str">
        <f ca="1">IFERROR(IF(0=LEN(ReferenceData!$F$142),"",ReferenceData!$F$142),"")</f>
        <v/>
      </c>
      <c r="G142" t="str">
        <f ca="1">IFERROR(IF(0=LEN(ReferenceData!$G$142),"",ReferenceData!$G$142),"")</f>
        <v/>
      </c>
      <c r="H142" t="str">
        <f ca="1">IFERROR(IF(0=LEN(ReferenceData!$H$142),"",ReferenceData!$H$142),"")</f>
        <v/>
      </c>
      <c r="I142" t="str">
        <f ca="1">IFERROR(IF(0=LEN(ReferenceData!$I$142),"",ReferenceData!$I$142),"")</f>
        <v/>
      </c>
      <c r="J142" t="str">
        <f ca="1">IFERROR(IF(0=LEN(ReferenceData!$J$142),"",ReferenceData!$J$142),"")</f>
        <v/>
      </c>
      <c r="K142" t="str">
        <f ca="1">IFERROR(IF(0=LEN(ReferenceData!$K$142),"",ReferenceData!$K$142),"")</f>
        <v/>
      </c>
      <c r="L142" t="str">
        <f ca="1">IFERROR(IF(0=LEN(ReferenceData!$L$142),"",ReferenceData!$L$142),"")</f>
        <v/>
      </c>
      <c r="M142" t="str">
        <f ca="1">IFERROR(IF(0=LEN(ReferenceData!$M$142),"",ReferenceData!$M$142),"")</f>
        <v/>
      </c>
      <c r="N142" t="str">
        <f ca="1">IFERROR(IF(0=LEN(ReferenceData!$N$142),"",ReferenceData!$N$142),"")</f>
        <v/>
      </c>
      <c r="O142" t="str">
        <f ca="1">IFERROR(IF(0=LEN(ReferenceData!$O$142),"",ReferenceData!$O$142),"")</f>
        <v/>
      </c>
      <c r="P142" t="str">
        <f ca="1">IFERROR(IF(0=LEN(ReferenceData!$P$142),"",ReferenceData!$P$142),"")</f>
        <v/>
      </c>
      <c r="Q142" t="str">
        <f ca="1">IFERROR(IF(0=LEN(ReferenceData!$Q$142),"",ReferenceData!$Q$142),"")</f>
        <v/>
      </c>
      <c r="R142" t="str">
        <f ca="1">IFERROR(IF(0=LEN(ReferenceData!$R$142),"",ReferenceData!$R$142),"")</f>
        <v/>
      </c>
      <c r="S142" t="str">
        <f ca="1">IFERROR(IF(0=LEN(ReferenceData!$S$142),"",ReferenceData!$S$142),"")</f>
        <v/>
      </c>
      <c r="T142" t="str">
        <f ca="1">IFERROR(IF(0=LEN(ReferenceData!$T$142),"",ReferenceData!$T$142),"")</f>
        <v/>
      </c>
      <c r="U142" t="str">
        <f ca="1">IFERROR(IF(0=LEN(ReferenceData!$U$142),"",ReferenceData!$U$142),"")</f>
        <v/>
      </c>
      <c r="V142" t="str">
        <f ca="1">IFERROR(IF(0=LEN(ReferenceData!$V$142),"",ReferenceData!$V$142),"")</f>
        <v/>
      </c>
      <c r="W142" t="str">
        <f ca="1">IFERROR(IF(0=LEN(ReferenceData!$W$142),"",ReferenceData!$W$142),"")</f>
        <v/>
      </c>
      <c r="X142" t="str">
        <f ca="1">IFERROR(IF(0=LEN(ReferenceData!$X$142),"",ReferenceData!$X$142),"")</f>
        <v/>
      </c>
      <c r="Y142" t="str">
        <f ca="1">IFERROR(IF(0=LEN(ReferenceData!$Y$142),"",ReferenceData!$Y$142),"")</f>
        <v/>
      </c>
      <c r="Z142" t="str">
        <f ca="1">IFERROR(IF(0=LEN(ReferenceData!$Z$142),"",ReferenceData!$Z$142),"")</f>
        <v/>
      </c>
      <c r="AA142" t="str">
        <f ca="1">IFERROR(IF(0=LEN(ReferenceData!$AA$142),"",ReferenceData!$AA$142),"")</f>
        <v/>
      </c>
      <c r="AB142" t="str">
        <f ca="1">IFERROR(IF(0=LEN(ReferenceData!$AB$142),"",ReferenceData!$AB$142),"")</f>
        <v/>
      </c>
      <c r="AC142" t="str">
        <f ca="1">IFERROR(IF(0=LEN(ReferenceData!$AC$142),"",ReferenceData!$AC$142),"")</f>
        <v/>
      </c>
      <c r="AD142" t="str">
        <f ca="1">IFERROR(IF(0=LEN(ReferenceData!$AD$142),"",ReferenceData!$AD$142),"")</f>
        <v/>
      </c>
      <c r="AE142" t="str">
        <f ca="1">IFERROR(IF(0=LEN(ReferenceData!$AE$142),"",ReferenceData!$AE$142),"")</f>
        <v/>
      </c>
      <c r="AF142" t="str">
        <f ca="1">IFERROR(IF(0=LEN(ReferenceData!$AF$142),"",ReferenceData!$AF$142),"")</f>
        <v/>
      </c>
      <c r="AG142" t="str">
        <f ca="1">IFERROR(IF(0=LEN(ReferenceData!$AG$142),"",ReferenceData!$AG$142),"")</f>
        <v/>
      </c>
      <c r="AH142" t="str">
        <f ca="1">IFERROR(IF(0=LEN(ReferenceData!$AH$142),"",ReferenceData!$AH$142),"")</f>
        <v/>
      </c>
      <c r="AI142" t="str">
        <f ca="1">IFERROR(IF(0=LEN(ReferenceData!$AI$142),"",ReferenceData!$AI$142),"")</f>
        <v/>
      </c>
      <c r="AJ142" t="str">
        <f ca="1">IFERROR(IF(0=LEN(ReferenceData!$AJ$142),"",ReferenceData!$AJ$142),"")</f>
        <v/>
      </c>
      <c r="AK142" t="str">
        <f ca="1">IFERROR(IF(0=LEN(ReferenceData!$AK$142),"",ReferenceData!$AK$142),"")</f>
        <v/>
      </c>
      <c r="AL142" t="str">
        <f ca="1">IFERROR(IF(0=LEN(ReferenceData!$AL$142),"",ReferenceData!$AL$142),"")</f>
        <v/>
      </c>
      <c r="AM142" t="str">
        <f ca="1">IFERROR(IF(0=LEN(ReferenceData!$AM$142),"",ReferenceData!$AM$142),"")</f>
        <v/>
      </c>
      <c r="AN142" t="str">
        <f ca="1">IFERROR(IF(0=LEN(ReferenceData!$AN$142),"",ReferenceData!$AN$142),"")</f>
        <v/>
      </c>
      <c r="AO142" t="str">
        <f ca="1">IFERROR(IF(0=LEN(ReferenceData!$AO$142),"",ReferenceData!$AO$142),"")</f>
        <v/>
      </c>
      <c r="AP142" t="str">
        <f ca="1">IFERROR(IF(0=LEN(ReferenceData!$AP$142),"",ReferenceData!$AP$142),"")</f>
        <v/>
      </c>
      <c r="AQ142" t="str">
        <f ca="1">IFERROR(IF(0=LEN(ReferenceData!$AQ$142),"",ReferenceData!$AQ$142),"")</f>
        <v/>
      </c>
      <c r="AR142" t="str">
        <f ca="1">IFERROR(IF(0=LEN(ReferenceData!$AR$142),"",ReferenceData!$AR$142),"")</f>
        <v/>
      </c>
      <c r="AS142" t="str">
        <f ca="1">IFERROR(IF(0=LEN(ReferenceData!$AS$142),"",ReferenceData!$AS$142),"")</f>
        <v/>
      </c>
      <c r="AT142" t="str">
        <f ca="1">IFERROR(IF(0=LEN(ReferenceData!$AT$142),"",ReferenceData!$AT$142),"")</f>
        <v/>
      </c>
      <c r="AU142" t="str">
        <f ca="1">IFERROR(IF(0=LEN(ReferenceData!$AU$142),"",ReferenceData!$AU$142),"")</f>
        <v/>
      </c>
      <c r="AV142" t="str">
        <f ca="1">IFERROR(IF(0=LEN(ReferenceData!$AV$142),"",ReferenceData!$AV$142),"")</f>
        <v/>
      </c>
      <c r="AW142" t="str">
        <f ca="1">IFERROR(IF(0=LEN(ReferenceData!$AW$142),"",ReferenceData!$AW$142),"")</f>
        <v/>
      </c>
      <c r="AX142" t="str">
        <f ca="1">IFERROR(IF(0=LEN(ReferenceData!$AX$142),"",ReferenceData!$AX$142),"")</f>
        <v/>
      </c>
      <c r="AY142" t="str">
        <f ca="1">IFERROR(IF(0=LEN(ReferenceData!$AY$142),"",ReferenceData!$AY$142),"")</f>
        <v/>
      </c>
      <c r="AZ142" t="str">
        <f ca="1">IFERROR(IF(0=LEN(ReferenceData!$AZ$142),"",ReferenceData!$AZ$142),"")</f>
        <v/>
      </c>
      <c r="BA142" t="str">
        <f ca="1">IFERROR(IF(0=LEN(ReferenceData!$BA$142),"",ReferenceData!$BA$142),"")</f>
        <v/>
      </c>
      <c r="BB142" t="str">
        <f ca="1">IFERROR(IF(0=LEN(ReferenceData!$BB$142),"",ReferenceData!$BB$142),"")</f>
        <v/>
      </c>
      <c r="BC142" t="str">
        <f ca="1">IFERROR(IF(0=LEN(ReferenceData!$BC$142),"",ReferenceData!$BC$142),"")</f>
        <v/>
      </c>
      <c r="BD142" t="str">
        <f ca="1">IFERROR(IF(0=LEN(ReferenceData!$BD$142),"",ReferenceData!$BD$142),"")</f>
        <v/>
      </c>
      <c r="BE142" t="str">
        <f ca="1">IFERROR(IF(0=LEN(ReferenceData!$BE$142),"",ReferenceData!$BE$142),"")</f>
        <v/>
      </c>
      <c r="BF142" t="str">
        <f ca="1">IFERROR(IF(0=LEN(ReferenceData!$BF$142),"",ReferenceData!$BF$142),"")</f>
        <v/>
      </c>
      <c r="BG142" t="str">
        <f ca="1">IFERROR(IF(0=LEN(ReferenceData!$BG$142),"",ReferenceData!$BG$142),"")</f>
        <v/>
      </c>
      <c r="BH142" t="str">
        <f ca="1">IFERROR(IF(0=LEN(ReferenceData!$BH$142),"",ReferenceData!$BH$142),"")</f>
        <v/>
      </c>
      <c r="BI142" t="str">
        <f ca="1">IFERROR(IF(0=LEN(ReferenceData!$BI$142),"",ReferenceData!$BI$142),"")</f>
        <v/>
      </c>
      <c r="BJ142" t="str">
        <f ca="1">IFERROR(IF(0=LEN(ReferenceData!$BJ$142),"",ReferenceData!$BJ$142),"")</f>
        <v/>
      </c>
      <c r="BK142" t="str">
        <f ca="1">IFERROR(IF(0=LEN(ReferenceData!$BK$142),"",ReferenceData!$BK$142),"")</f>
        <v/>
      </c>
      <c r="BL142" t="str">
        <f ca="1">IFERROR(IF(0=LEN(ReferenceData!$BL$142),"",ReferenceData!$BL$142),"")</f>
        <v/>
      </c>
      <c r="BM142" t="str">
        <f ca="1">IFERROR(IF(0=LEN(ReferenceData!$BM$142),"",ReferenceData!$BM$142),"")</f>
        <v/>
      </c>
    </row>
    <row r="143" spans="1:65">
      <c r="A143" t="str">
        <f>IFERROR(IF(0=LEN(ReferenceData!$A$143),"",ReferenceData!$A$143),"")</f>
        <v xml:space="preserve">    Truist Financial Corp</v>
      </c>
      <c r="B143" t="str">
        <f>IFERROR(IF(0=LEN(ReferenceData!$B$143),"",ReferenceData!$B$143),"")</f>
        <v>TFC US Equity</v>
      </c>
      <c r="C143" t="str">
        <f>IFERROR(IF(0=LEN(ReferenceData!$C$143),"",ReferenceData!$C$143),"")</f>
        <v>BS965</v>
      </c>
      <c r="D143" t="str">
        <f>IFERROR(IF(0=LEN(ReferenceData!$D$143),"",ReferenceData!$D$143),"")</f>
        <v>BS_COMML_MTG_SERVICING_PORTFOLIO</v>
      </c>
      <c r="E143" t="str">
        <f>IFERROR(IF(0=LEN(ReferenceData!$E$143),"",ReferenceData!$E$143),"")</f>
        <v>Dynamic</v>
      </c>
      <c r="F143" t="str">
        <f ca="1">IFERROR(IF(0=LEN(ReferenceData!$F$143),"",ReferenceData!$F$143),"")</f>
        <v/>
      </c>
      <c r="G143" t="str">
        <f ca="1">IFERROR(IF(0=LEN(ReferenceData!$G$143),"",ReferenceData!$G$143),"")</f>
        <v/>
      </c>
      <c r="H143" t="str">
        <f ca="1">IFERROR(IF(0=LEN(ReferenceData!$H$143),"",ReferenceData!$H$143),"")</f>
        <v/>
      </c>
      <c r="I143" t="str">
        <f ca="1">IFERROR(IF(0=LEN(ReferenceData!$I$143),"",ReferenceData!$I$143),"")</f>
        <v/>
      </c>
      <c r="J143" t="str">
        <f ca="1">IFERROR(IF(0=LEN(ReferenceData!$J$143),"",ReferenceData!$J$143),"")</f>
        <v/>
      </c>
      <c r="K143" t="str">
        <f ca="1">IFERROR(IF(0=LEN(ReferenceData!$K$143),"",ReferenceData!$K$143),"")</f>
        <v/>
      </c>
      <c r="L143" t="str">
        <f ca="1">IFERROR(IF(0=LEN(ReferenceData!$L$143),"",ReferenceData!$L$143),"")</f>
        <v/>
      </c>
      <c r="M143" t="str">
        <f ca="1">IFERROR(IF(0=LEN(ReferenceData!$M$143),"",ReferenceData!$M$143),"")</f>
        <v/>
      </c>
      <c r="N143" t="str">
        <f ca="1">IFERROR(IF(0=LEN(ReferenceData!$N$143),"",ReferenceData!$N$143),"")</f>
        <v/>
      </c>
      <c r="O143" t="str">
        <f ca="1">IFERROR(IF(0=LEN(ReferenceData!$O$143),"",ReferenceData!$O$143),"")</f>
        <v/>
      </c>
      <c r="P143" t="str">
        <f ca="1">IFERROR(IF(0=LEN(ReferenceData!$P$143),"",ReferenceData!$P$143),"")</f>
        <v/>
      </c>
      <c r="Q143" t="str">
        <f ca="1">IFERROR(IF(0=LEN(ReferenceData!$Q$143),"",ReferenceData!$Q$143),"")</f>
        <v/>
      </c>
      <c r="R143" t="str">
        <f ca="1">IFERROR(IF(0=LEN(ReferenceData!$R$143),"",ReferenceData!$R$143),"")</f>
        <v/>
      </c>
      <c r="S143" t="str">
        <f ca="1">IFERROR(IF(0=LEN(ReferenceData!$S$143),"",ReferenceData!$S$143),"")</f>
        <v/>
      </c>
      <c r="T143" t="str">
        <f ca="1">IFERROR(IF(0=LEN(ReferenceData!$T$143),"",ReferenceData!$T$143),"")</f>
        <v/>
      </c>
      <c r="U143" t="str">
        <f ca="1">IFERROR(IF(0=LEN(ReferenceData!$U$143),"",ReferenceData!$U$143),"")</f>
        <v/>
      </c>
      <c r="V143" t="str">
        <f ca="1">IFERROR(IF(0=LEN(ReferenceData!$V$143),"",ReferenceData!$V$143),"")</f>
        <v/>
      </c>
      <c r="W143" t="str">
        <f ca="1">IFERROR(IF(0=LEN(ReferenceData!$W$143),"",ReferenceData!$W$143),"")</f>
        <v/>
      </c>
      <c r="X143" t="str">
        <f ca="1">IFERROR(IF(0=LEN(ReferenceData!$X$143),"",ReferenceData!$X$143),"")</f>
        <v/>
      </c>
      <c r="Y143" t="str">
        <f ca="1">IFERROR(IF(0=LEN(ReferenceData!$Y$143),"",ReferenceData!$Y$143),"")</f>
        <v/>
      </c>
      <c r="Z143" t="str">
        <f ca="1">IFERROR(IF(0=LEN(ReferenceData!$Z$143),"",ReferenceData!$Z$143),"")</f>
        <v/>
      </c>
      <c r="AA143" t="str">
        <f ca="1">IFERROR(IF(0=LEN(ReferenceData!$AA$143),"",ReferenceData!$AA$143),"")</f>
        <v/>
      </c>
      <c r="AB143" t="str">
        <f ca="1">IFERROR(IF(0=LEN(ReferenceData!$AB$143),"",ReferenceData!$AB$143),"")</f>
        <v/>
      </c>
      <c r="AC143" t="str">
        <f ca="1">IFERROR(IF(0=LEN(ReferenceData!$AC$143),"",ReferenceData!$AC$143),"")</f>
        <v/>
      </c>
      <c r="AD143" t="str">
        <f ca="1">IFERROR(IF(0=LEN(ReferenceData!$AD$143),"",ReferenceData!$AD$143),"")</f>
        <v/>
      </c>
      <c r="AE143" t="str">
        <f ca="1">IFERROR(IF(0=LEN(ReferenceData!$AE$143),"",ReferenceData!$AE$143),"")</f>
        <v/>
      </c>
      <c r="AF143" t="str">
        <f ca="1">IFERROR(IF(0=LEN(ReferenceData!$AF$143),"",ReferenceData!$AF$143),"")</f>
        <v/>
      </c>
      <c r="AG143" t="str">
        <f ca="1">IFERROR(IF(0=LEN(ReferenceData!$AG$143),"",ReferenceData!$AG$143),"")</f>
        <v/>
      </c>
      <c r="AH143" t="str">
        <f ca="1">IFERROR(IF(0=LEN(ReferenceData!$AH$143),"",ReferenceData!$AH$143),"")</f>
        <v/>
      </c>
      <c r="AI143" t="str">
        <f ca="1">IFERROR(IF(0=LEN(ReferenceData!$AI$143),"",ReferenceData!$AI$143),"")</f>
        <v/>
      </c>
      <c r="AJ143" t="str">
        <f ca="1">IFERROR(IF(0=LEN(ReferenceData!$AJ$143),"",ReferenceData!$AJ$143),"")</f>
        <v/>
      </c>
      <c r="AK143" t="str">
        <f ca="1">IFERROR(IF(0=LEN(ReferenceData!$AK$143),"",ReferenceData!$AK$143),"")</f>
        <v/>
      </c>
      <c r="AL143" t="str">
        <f ca="1">IFERROR(IF(0=LEN(ReferenceData!$AL$143),"",ReferenceData!$AL$143),"")</f>
        <v/>
      </c>
      <c r="AM143" t="str">
        <f ca="1">IFERROR(IF(0=LEN(ReferenceData!$AM$143),"",ReferenceData!$AM$143),"")</f>
        <v/>
      </c>
      <c r="AN143" t="str">
        <f ca="1">IFERROR(IF(0=LEN(ReferenceData!$AN$143),"",ReferenceData!$AN$143),"")</f>
        <v/>
      </c>
      <c r="AO143" t="str">
        <f ca="1">IFERROR(IF(0=LEN(ReferenceData!$AO$143),"",ReferenceData!$AO$143),"")</f>
        <v/>
      </c>
      <c r="AP143" t="str">
        <f ca="1">IFERROR(IF(0=LEN(ReferenceData!$AP$143),"",ReferenceData!$AP$143),"")</f>
        <v/>
      </c>
      <c r="AQ143" t="str">
        <f ca="1">IFERROR(IF(0=LEN(ReferenceData!$AQ$143),"",ReferenceData!$AQ$143),"")</f>
        <v/>
      </c>
      <c r="AR143" t="str">
        <f ca="1">IFERROR(IF(0=LEN(ReferenceData!$AR$143),"",ReferenceData!$AR$143),"")</f>
        <v/>
      </c>
      <c r="AS143" t="str">
        <f ca="1">IFERROR(IF(0=LEN(ReferenceData!$AS$143),"",ReferenceData!$AS$143),"")</f>
        <v/>
      </c>
      <c r="AT143" t="str">
        <f ca="1">IFERROR(IF(0=LEN(ReferenceData!$AT$143),"",ReferenceData!$AT$143),"")</f>
        <v/>
      </c>
      <c r="AU143" t="str">
        <f ca="1">IFERROR(IF(0=LEN(ReferenceData!$AU$143),"",ReferenceData!$AU$143),"")</f>
        <v/>
      </c>
      <c r="AV143" t="str">
        <f ca="1">IFERROR(IF(0=LEN(ReferenceData!$AV$143),"",ReferenceData!$AV$143),"")</f>
        <v/>
      </c>
      <c r="AW143" t="str">
        <f ca="1">IFERROR(IF(0=LEN(ReferenceData!$AW$143),"",ReferenceData!$AW$143),"")</f>
        <v/>
      </c>
      <c r="AX143" t="str">
        <f ca="1">IFERROR(IF(0=LEN(ReferenceData!$AX$143),"",ReferenceData!$AX$143),"")</f>
        <v/>
      </c>
      <c r="AY143" t="str">
        <f ca="1">IFERROR(IF(0=LEN(ReferenceData!$AY$143),"",ReferenceData!$AY$143),"")</f>
        <v/>
      </c>
      <c r="AZ143" t="str">
        <f ca="1">IFERROR(IF(0=LEN(ReferenceData!$AZ$143),"",ReferenceData!$AZ$143),"")</f>
        <v/>
      </c>
      <c r="BA143" t="str">
        <f ca="1">IFERROR(IF(0=LEN(ReferenceData!$BA$143),"",ReferenceData!$BA$143),"")</f>
        <v/>
      </c>
      <c r="BB143" t="str">
        <f ca="1">IFERROR(IF(0=LEN(ReferenceData!$BB$143),"",ReferenceData!$BB$143),"")</f>
        <v/>
      </c>
      <c r="BC143" t="str">
        <f ca="1">IFERROR(IF(0=LEN(ReferenceData!$BC$143),"",ReferenceData!$BC$143),"")</f>
        <v/>
      </c>
      <c r="BD143" t="str">
        <f ca="1">IFERROR(IF(0=LEN(ReferenceData!$BD$143),"",ReferenceData!$BD$143),"")</f>
        <v/>
      </c>
      <c r="BE143" t="str">
        <f ca="1">IFERROR(IF(0=LEN(ReferenceData!$BE$143),"",ReferenceData!$BE$143),"")</f>
        <v/>
      </c>
      <c r="BF143" t="str">
        <f ca="1">IFERROR(IF(0=LEN(ReferenceData!$BF$143),"",ReferenceData!$BF$143),"")</f>
        <v/>
      </c>
      <c r="BG143" t="str">
        <f ca="1">IFERROR(IF(0=LEN(ReferenceData!$BG$143),"",ReferenceData!$BG$143),"")</f>
        <v/>
      </c>
      <c r="BH143" t="str">
        <f ca="1">IFERROR(IF(0=LEN(ReferenceData!$BH$143),"",ReferenceData!$BH$143),"")</f>
        <v/>
      </c>
      <c r="BI143" t="str">
        <f ca="1">IFERROR(IF(0=LEN(ReferenceData!$BI$143),"",ReferenceData!$BI$143),"")</f>
        <v/>
      </c>
      <c r="BJ143" t="str">
        <f ca="1">IFERROR(IF(0=LEN(ReferenceData!$BJ$143),"",ReferenceData!$BJ$143),"")</f>
        <v/>
      </c>
      <c r="BK143" t="str">
        <f ca="1">IFERROR(IF(0=LEN(ReferenceData!$BK$143),"",ReferenceData!$BK$143),"")</f>
        <v/>
      </c>
      <c r="BL143" t="str">
        <f ca="1">IFERROR(IF(0=LEN(ReferenceData!$BL$143),"",ReferenceData!$BL$143),"")</f>
        <v/>
      </c>
      <c r="BM143" t="str">
        <f ca="1">IFERROR(IF(0=LEN(ReferenceData!$BM$143),"",ReferenceData!$BM$143),"")</f>
        <v/>
      </c>
    </row>
    <row r="144" spans="1:65">
      <c r="A144" t="str">
        <f>IFERROR(IF(0=LEN(ReferenceData!$A$144),"",ReferenceData!$A$144),"")</f>
        <v xml:space="preserve">    US Bancorp</v>
      </c>
      <c r="B144" t="str">
        <f>IFERROR(IF(0=LEN(ReferenceData!$B$144),"",ReferenceData!$B$144),"")</f>
        <v>USB US Equity</v>
      </c>
      <c r="C144" t="str">
        <f>IFERROR(IF(0=LEN(ReferenceData!$C$144),"",ReferenceData!$C$144),"")</f>
        <v>BS965</v>
      </c>
      <c r="D144" t="str">
        <f>IFERROR(IF(0=LEN(ReferenceData!$D$144),"",ReferenceData!$D$144),"")</f>
        <v>BS_COMML_MTG_SERVICING_PORTFOLIO</v>
      </c>
      <c r="E144" t="str">
        <f>IFERROR(IF(0=LEN(ReferenceData!$E$144),"",ReferenceData!$E$144),"")</f>
        <v>Dynamic</v>
      </c>
      <c r="F144" t="str">
        <f ca="1">IFERROR(IF(0=LEN(ReferenceData!$F$144),"",ReferenceData!$F$144),"")</f>
        <v/>
      </c>
      <c r="G144" t="str">
        <f ca="1">IFERROR(IF(0=LEN(ReferenceData!$G$144),"",ReferenceData!$G$144),"")</f>
        <v/>
      </c>
      <c r="H144" t="str">
        <f ca="1">IFERROR(IF(0=LEN(ReferenceData!$H$144),"",ReferenceData!$H$144),"")</f>
        <v/>
      </c>
      <c r="I144" t="str">
        <f ca="1">IFERROR(IF(0=LEN(ReferenceData!$I$144),"",ReferenceData!$I$144),"")</f>
        <v/>
      </c>
      <c r="J144" t="str">
        <f ca="1">IFERROR(IF(0=LEN(ReferenceData!$J$144),"",ReferenceData!$J$144),"")</f>
        <v/>
      </c>
      <c r="K144" t="str">
        <f ca="1">IFERROR(IF(0=LEN(ReferenceData!$K$144),"",ReferenceData!$K$144),"")</f>
        <v/>
      </c>
      <c r="L144" t="str">
        <f ca="1">IFERROR(IF(0=LEN(ReferenceData!$L$144),"",ReferenceData!$L$144),"")</f>
        <v/>
      </c>
      <c r="M144" t="str">
        <f ca="1">IFERROR(IF(0=LEN(ReferenceData!$M$144),"",ReferenceData!$M$144),"")</f>
        <v/>
      </c>
      <c r="N144" t="str">
        <f ca="1">IFERROR(IF(0=LEN(ReferenceData!$N$144),"",ReferenceData!$N$144),"")</f>
        <v/>
      </c>
      <c r="O144" t="str">
        <f ca="1">IFERROR(IF(0=LEN(ReferenceData!$O$144),"",ReferenceData!$O$144),"")</f>
        <v/>
      </c>
      <c r="P144" t="str">
        <f ca="1">IFERROR(IF(0=LEN(ReferenceData!$P$144),"",ReferenceData!$P$144),"")</f>
        <v/>
      </c>
      <c r="Q144" t="str">
        <f ca="1">IFERROR(IF(0=LEN(ReferenceData!$Q$144),"",ReferenceData!$Q$144),"")</f>
        <v/>
      </c>
      <c r="R144" t="str">
        <f ca="1">IFERROR(IF(0=LEN(ReferenceData!$R$144),"",ReferenceData!$R$144),"")</f>
        <v/>
      </c>
      <c r="S144" t="str">
        <f ca="1">IFERROR(IF(0=LEN(ReferenceData!$S$144),"",ReferenceData!$S$144),"")</f>
        <v/>
      </c>
      <c r="T144" t="str">
        <f ca="1">IFERROR(IF(0=LEN(ReferenceData!$T$144),"",ReferenceData!$T$144),"")</f>
        <v/>
      </c>
      <c r="U144" t="str">
        <f ca="1">IFERROR(IF(0=LEN(ReferenceData!$U$144),"",ReferenceData!$U$144),"")</f>
        <v/>
      </c>
      <c r="V144" t="str">
        <f ca="1">IFERROR(IF(0=LEN(ReferenceData!$V$144),"",ReferenceData!$V$144),"")</f>
        <v/>
      </c>
      <c r="W144" t="str">
        <f ca="1">IFERROR(IF(0=LEN(ReferenceData!$W$144),"",ReferenceData!$W$144),"")</f>
        <v/>
      </c>
      <c r="X144" t="str">
        <f ca="1">IFERROR(IF(0=LEN(ReferenceData!$X$144),"",ReferenceData!$X$144),"")</f>
        <v/>
      </c>
      <c r="Y144" t="str">
        <f ca="1">IFERROR(IF(0=LEN(ReferenceData!$Y$144),"",ReferenceData!$Y$144),"")</f>
        <v/>
      </c>
      <c r="Z144" t="str">
        <f ca="1">IFERROR(IF(0=LEN(ReferenceData!$Z$144),"",ReferenceData!$Z$144),"")</f>
        <v/>
      </c>
      <c r="AA144" t="str">
        <f ca="1">IFERROR(IF(0=LEN(ReferenceData!$AA$144),"",ReferenceData!$AA$144),"")</f>
        <v/>
      </c>
      <c r="AB144" t="str">
        <f ca="1">IFERROR(IF(0=LEN(ReferenceData!$AB$144),"",ReferenceData!$AB$144),"")</f>
        <v/>
      </c>
      <c r="AC144" t="str">
        <f ca="1">IFERROR(IF(0=LEN(ReferenceData!$AC$144),"",ReferenceData!$AC$144),"")</f>
        <v/>
      </c>
      <c r="AD144" t="str">
        <f ca="1">IFERROR(IF(0=LEN(ReferenceData!$AD$144),"",ReferenceData!$AD$144),"")</f>
        <v/>
      </c>
      <c r="AE144" t="str">
        <f ca="1">IFERROR(IF(0=LEN(ReferenceData!$AE$144),"",ReferenceData!$AE$144),"")</f>
        <v/>
      </c>
      <c r="AF144" t="str">
        <f ca="1">IFERROR(IF(0=LEN(ReferenceData!$AF$144),"",ReferenceData!$AF$144),"")</f>
        <v/>
      </c>
      <c r="AG144" t="str">
        <f ca="1">IFERROR(IF(0=LEN(ReferenceData!$AG$144),"",ReferenceData!$AG$144),"")</f>
        <v/>
      </c>
      <c r="AH144" t="str">
        <f ca="1">IFERROR(IF(0=LEN(ReferenceData!$AH$144),"",ReferenceData!$AH$144),"")</f>
        <v/>
      </c>
      <c r="AI144" t="str">
        <f ca="1">IFERROR(IF(0=LEN(ReferenceData!$AI$144),"",ReferenceData!$AI$144),"")</f>
        <v/>
      </c>
      <c r="AJ144" t="str">
        <f ca="1">IFERROR(IF(0=LEN(ReferenceData!$AJ$144),"",ReferenceData!$AJ$144),"")</f>
        <v/>
      </c>
      <c r="AK144" t="str">
        <f ca="1">IFERROR(IF(0=LEN(ReferenceData!$AK$144),"",ReferenceData!$AK$144),"")</f>
        <v/>
      </c>
      <c r="AL144" t="str">
        <f ca="1">IFERROR(IF(0=LEN(ReferenceData!$AL$144),"",ReferenceData!$AL$144),"")</f>
        <v/>
      </c>
      <c r="AM144" t="str">
        <f ca="1">IFERROR(IF(0=LEN(ReferenceData!$AM$144),"",ReferenceData!$AM$144),"")</f>
        <v/>
      </c>
      <c r="AN144" t="str">
        <f ca="1">IFERROR(IF(0=LEN(ReferenceData!$AN$144),"",ReferenceData!$AN$144),"")</f>
        <v/>
      </c>
      <c r="AO144" t="str">
        <f ca="1">IFERROR(IF(0=LEN(ReferenceData!$AO$144),"",ReferenceData!$AO$144),"")</f>
        <v/>
      </c>
      <c r="AP144" t="str">
        <f ca="1">IFERROR(IF(0=LEN(ReferenceData!$AP$144),"",ReferenceData!$AP$144),"")</f>
        <v/>
      </c>
      <c r="AQ144" t="str">
        <f ca="1">IFERROR(IF(0=LEN(ReferenceData!$AQ$144),"",ReferenceData!$AQ$144),"")</f>
        <v/>
      </c>
      <c r="AR144" t="str">
        <f ca="1">IFERROR(IF(0=LEN(ReferenceData!$AR$144),"",ReferenceData!$AR$144),"")</f>
        <v/>
      </c>
      <c r="AS144" t="str">
        <f ca="1">IFERROR(IF(0=LEN(ReferenceData!$AS$144),"",ReferenceData!$AS$144),"")</f>
        <v/>
      </c>
      <c r="AT144" t="str">
        <f ca="1">IFERROR(IF(0=LEN(ReferenceData!$AT$144),"",ReferenceData!$AT$144),"")</f>
        <v/>
      </c>
      <c r="AU144" t="str">
        <f ca="1">IFERROR(IF(0=LEN(ReferenceData!$AU$144),"",ReferenceData!$AU$144),"")</f>
        <v/>
      </c>
      <c r="AV144" t="str">
        <f ca="1">IFERROR(IF(0=LEN(ReferenceData!$AV$144),"",ReferenceData!$AV$144),"")</f>
        <v/>
      </c>
      <c r="AW144" t="str">
        <f ca="1">IFERROR(IF(0=LEN(ReferenceData!$AW$144),"",ReferenceData!$AW$144),"")</f>
        <v/>
      </c>
      <c r="AX144" t="str">
        <f ca="1">IFERROR(IF(0=LEN(ReferenceData!$AX$144),"",ReferenceData!$AX$144),"")</f>
        <v/>
      </c>
      <c r="AY144" t="str">
        <f ca="1">IFERROR(IF(0=LEN(ReferenceData!$AY$144),"",ReferenceData!$AY$144),"")</f>
        <v/>
      </c>
      <c r="AZ144" t="str">
        <f ca="1">IFERROR(IF(0=LEN(ReferenceData!$AZ$144),"",ReferenceData!$AZ$144),"")</f>
        <v/>
      </c>
      <c r="BA144" t="str">
        <f ca="1">IFERROR(IF(0=LEN(ReferenceData!$BA$144),"",ReferenceData!$BA$144),"")</f>
        <v/>
      </c>
      <c r="BB144" t="str">
        <f ca="1">IFERROR(IF(0=LEN(ReferenceData!$BB$144),"",ReferenceData!$BB$144),"")</f>
        <v/>
      </c>
      <c r="BC144" t="str">
        <f ca="1">IFERROR(IF(0=LEN(ReferenceData!$BC$144),"",ReferenceData!$BC$144),"")</f>
        <v/>
      </c>
      <c r="BD144" t="str">
        <f ca="1">IFERROR(IF(0=LEN(ReferenceData!$BD$144),"",ReferenceData!$BD$144),"")</f>
        <v/>
      </c>
      <c r="BE144" t="str">
        <f ca="1">IFERROR(IF(0=LEN(ReferenceData!$BE$144),"",ReferenceData!$BE$144),"")</f>
        <v/>
      </c>
      <c r="BF144" t="str">
        <f ca="1">IFERROR(IF(0=LEN(ReferenceData!$BF$144),"",ReferenceData!$BF$144),"")</f>
        <v/>
      </c>
      <c r="BG144" t="str">
        <f ca="1">IFERROR(IF(0=LEN(ReferenceData!$BG$144),"",ReferenceData!$BG$144),"")</f>
        <v/>
      </c>
      <c r="BH144" t="str">
        <f ca="1">IFERROR(IF(0=LEN(ReferenceData!$BH$144),"",ReferenceData!$BH$144),"")</f>
        <v/>
      </c>
      <c r="BI144" t="str">
        <f ca="1">IFERROR(IF(0=LEN(ReferenceData!$BI$144),"",ReferenceData!$BI$144),"")</f>
        <v/>
      </c>
      <c r="BJ144" t="str">
        <f ca="1">IFERROR(IF(0=LEN(ReferenceData!$BJ$144),"",ReferenceData!$BJ$144),"")</f>
        <v/>
      </c>
      <c r="BK144" t="str">
        <f ca="1">IFERROR(IF(0=LEN(ReferenceData!$BK$144),"",ReferenceData!$BK$144),"")</f>
        <v/>
      </c>
      <c r="BL144" t="str">
        <f ca="1">IFERROR(IF(0=LEN(ReferenceData!$BL$144),"",ReferenceData!$BL$144),"")</f>
        <v/>
      </c>
      <c r="BM144" t="str">
        <f ca="1">IFERROR(IF(0=LEN(ReferenceData!$BM$144),"",ReferenceData!$BM$144),"")</f>
        <v/>
      </c>
    </row>
    <row r="145" spans="1:65">
      <c r="A145" t="str">
        <f>IFERROR(IF(0=LEN(ReferenceData!$A$145),"",ReferenceData!$A$145),"")</f>
        <v xml:space="preserve">    Wells Fargo &amp; Co</v>
      </c>
      <c r="B145" t="str">
        <f>IFERROR(IF(0=LEN(ReferenceData!$B$145),"",ReferenceData!$B$145),"")</f>
        <v>WFC US Equity</v>
      </c>
      <c r="C145" t="str">
        <f>IFERROR(IF(0=LEN(ReferenceData!$C$145),"",ReferenceData!$C$145),"")</f>
        <v>BS965</v>
      </c>
      <c r="D145" t="str">
        <f>IFERROR(IF(0=LEN(ReferenceData!$D$145),"",ReferenceData!$D$145),"")</f>
        <v>BS_COMML_MTG_SERVICING_PORTFOLIO</v>
      </c>
      <c r="E145" t="str">
        <f>IFERROR(IF(0=LEN(ReferenceData!$E$145),"",ReferenceData!$E$145),"")</f>
        <v>Dynamic</v>
      </c>
      <c r="F145">
        <f ca="1">IFERROR(IF(0=LEN(ReferenceData!$F$145),"",ReferenceData!$F$145),"")</f>
        <v>522000</v>
      </c>
      <c r="G145">
        <f ca="1">IFERROR(IF(0=LEN(ReferenceData!$G$145),"",ReferenceData!$G$145),"")</f>
        <v>659000</v>
      </c>
      <c r="H145">
        <f ca="1">IFERROR(IF(0=LEN(ReferenceData!$H$145),"",ReferenceData!$H$145),"")</f>
        <v>667000</v>
      </c>
      <c r="I145">
        <f ca="1">IFERROR(IF(0=LEN(ReferenceData!$I$145),"",ReferenceData!$I$145),"")</f>
        <v>671000</v>
      </c>
      <c r="J145">
        <f ca="1">IFERROR(IF(0=LEN(ReferenceData!$J$145),"",ReferenceData!$J$145),"")</f>
        <v>539000</v>
      </c>
      <c r="K145">
        <f ca="1">IFERROR(IF(0=LEN(ReferenceData!$K$145),"",ReferenceData!$K$145),"")</f>
        <v>683000</v>
      </c>
      <c r="L145">
        <f ca="1">IFERROR(IF(0=LEN(ReferenceData!$L$145),"",ReferenceData!$L$145),"")</f>
        <v>693000</v>
      </c>
      <c r="M145">
        <f ca="1">IFERROR(IF(0=LEN(ReferenceData!$M$145),"",ReferenceData!$M$145),"")</f>
        <v>702000</v>
      </c>
      <c r="N145">
        <f ca="1">IFERROR(IF(0=LEN(ReferenceData!$N$145),"",ReferenceData!$N$145),"")</f>
        <v>710000</v>
      </c>
      <c r="O145">
        <f ca="1">IFERROR(IF(0=LEN(ReferenceData!$O$145),"",ReferenceData!$O$145),"")</f>
        <v>720000</v>
      </c>
      <c r="P145">
        <f ca="1">IFERROR(IF(0=LEN(ReferenceData!$P$145),"",ReferenceData!$P$145),"")</f>
        <v>729000</v>
      </c>
      <c r="Q145">
        <f ca="1">IFERROR(IF(0=LEN(ReferenceData!$Q$145),"",ReferenceData!$Q$145),"")</f>
        <v>730000</v>
      </c>
      <c r="R145">
        <f ca="1">IFERROR(IF(0=LEN(ReferenceData!$R$145),"",ReferenceData!$R$145),"")</f>
        <v>727000</v>
      </c>
      <c r="S145">
        <f ca="1">IFERROR(IF(0=LEN(ReferenceData!$S$145),"",ReferenceData!$S$145),"")</f>
        <v>711000</v>
      </c>
      <c r="T145">
        <f ca="1">IFERROR(IF(0=LEN(ReferenceData!$T$145),"",ReferenceData!$T$145),"")</f>
        <v>707000</v>
      </c>
      <c r="U145">
        <f ca="1">IFERROR(IF(0=LEN(ReferenceData!$U$145),"",ReferenceData!$U$145),"")</f>
        <v>703000</v>
      </c>
      <c r="V145">
        <f ca="1">IFERROR(IF(0=LEN(ReferenceData!$V$145),"",ReferenceData!$V$145),"")</f>
        <v>706000</v>
      </c>
      <c r="W145">
        <f ca="1">IFERROR(IF(0=LEN(ReferenceData!$W$145),"",ReferenceData!$W$145),"")</f>
        <v>702000</v>
      </c>
      <c r="X145">
        <f ca="1">IFERROR(IF(0=LEN(ReferenceData!$X$145),"",ReferenceData!$X$145),"")</f>
        <v>703000</v>
      </c>
      <c r="Y145">
        <f ca="1">IFERROR(IF(0=LEN(ReferenceData!$Y$145),"",ReferenceData!$Y$145),"")</f>
        <v>697000</v>
      </c>
      <c r="Z145">
        <f ca="1">IFERROR(IF(0=LEN(ReferenceData!$Z$145),"",ReferenceData!$Z$145),"")</f>
        <v>699000</v>
      </c>
      <c r="AA145">
        <f ca="1">IFERROR(IF(0=LEN(ReferenceData!$AA$145),"",ReferenceData!$AA$145),"")</f>
        <v>682000</v>
      </c>
      <c r="AB145">
        <f ca="1">IFERROR(IF(0=LEN(ReferenceData!$AB$145),"",ReferenceData!$AB$145),"")</f>
        <v>680000</v>
      </c>
      <c r="AC145">
        <f ca="1">IFERROR(IF(0=LEN(ReferenceData!$AC$145),"",ReferenceData!$AC$145),"")</f>
        <v>683000</v>
      </c>
      <c r="AD145">
        <f ca="1">IFERROR(IF(0=LEN(ReferenceData!$AD$145),"",ReferenceData!$AD$145),"")</f>
        <v>673</v>
      </c>
      <c r="AE145">
        <f ca="1">IFERROR(IF(0=LEN(ReferenceData!$AE$145),"",ReferenceData!$AE$145),"")</f>
        <v>659000</v>
      </c>
      <c r="AF145">
        <f ca="1">IFERROR(IF(0=LEN(ReferenceData!$AF$145),"",ReferenceData!$AF$145),"")</f>
        <v>652000</v>
      </c>
      <c r="AG145">
        <f ca="1">IFERROR(IF(0=LEN(ReferenceData!$AG$145),"",ReferenceData!$AG$145),"")</f>
        <v>645000</v>
      </c>
      <c r="AH145">
        <f ca="1">IFERROR(IF(0=LEN(ReferenceData!$AH$145),"",ReferenceData!$AH$145),"")</f>
        <v>631000</v>
      </c>
      <c r="AI145">
        <f ca="1">IFERROR(IF(0=LEN(ReferenceData!$AI$145),"",ReferenceData!$AI$145),"")</f>
        <v>616000</v>
      </c>
      <c r="AJ145">
        <f ca="1">IFERROR(IF(0=LEN(ReferenceData!$AJ$145),"",ReferenceData!$AJ$145),"")</f>
        <v>613000</v>
      </c>
      <c r="AK145">
        <f ca="1">IFERROR(IF(0=LEN(ReferenceData!$AK$145),"",ReferenceData!$AK$145),"")</f>
        <v>613000</v>
      </c>
      <c r="AL145">
        <f ca="1">IFERROR(IF(0=LEN(ReferenceData!$AL$145),"",ReferenceData!$AL$145),"")</f>
        <v>619000</v>
      </c>
      <c r="AM145">
        <f ca="1">IFERROR(IF(0=LEN(ReferenceData!$AM$145),"",ReferenceData!$AM$145),"")</f>
        <v>615000</v>
      </c>
      <c r="AN145">
        <f ca="1">IFERROR(IF(0=LEN(ReferenceData!$AN$145),"",ReferenceData!$AN$145),"")</f>
        <v>614000</v>
      </c>
      <c r="AO145">
        <f ca="1">IFERROR(IF(0=LEN(ReferenceData!$AO$145),"",ReferenceData!$AO$145),"")</f>
        <v>618000</v>
      </c>
      <c r="AP145">
        <f ca="1">IFERROR(IF(0=LEN(ReferenceData!$AP$145),"",ReferenceData!$AP$145),"")</f>
        <v>607000</v>
      </c>
      <c r="AQ145">
        <f ca="1">IFERROR(IF(0=LEN(ReferenceData!$AQ$145),"",ReferenceData!$AQ$145),"")</f>
        <v>598000</v>
      </c>
      <c r="AR145">
        <f ca="1">IFERROR(IF(0=LEN(ReferenceData!$AR$145),"",ReferenceData!$AR$145),"")</f>
        <v>592000</v>
      </c>
      <c r="AS145">
        <f ca="1">IFERROR(IF(0=LEN(ReferenceData!$AS$145),"",ReferenceData!$AS$145),"")</f>
        <v>580000</v>
      </c>
      <c r="AT145">
        <f ca="1">IFERROR(IF(0=LEN(ReferenceData!$AT$145),"",ReferenceData!$AT$145),"")</f>
        <v>575000</v>
      </c>
      <c r="AU145">
        <f ca="1">IFERROR(IF(0=LEN(ReferenceData!$AU$145),"",ReferenceData!$AU$145),"")</f>
        <v>554000</v>
      </c>
      <c r="AV145">
        <f ca="1">IFERROR(IF(0=LEN(ReferenceData!$AV$145),"",ReferenceData!$AV$145),"")</f>
        <v>545000</v>
      </c>
      <c r="AW145">
        <f ca="1">IFERROR(IF(0=LEN(ReferenceData!$AW$145),"",ReferenceData!$AW$145),"")</f>
        <v>539000</v>
      </c>
      <c r="AX145">
        <f ca="1">IFERROR(IF(0=LEN(ReferenceData!$AX$145),"",ReferenceData!$AX$145),"")</f>
        <v>533000</v>
      </c>
      <c r="AY145">
        <f ca="1">IFERROR(IF(0=LEN(ReferenceData!$AY$145),"",ReferenceData!$AY$145),"")</f>
        <v>533000</v>
      </c>
      <c r="AZ145">
        <f ca="1">IFERROR(IF(0=LEN(ReferenceData!$AZ$145),"",ReferenceData!$AZ$145),"")</f>
        <v>525000</v>
      </c>
      <c r="BA145">
        <f ca="1">IFERROR(IF(0=LEN(ReferenceData!$BA$145),"",ReferenceData!$BA$145),"")</f>
        <v>524000</v>
      </c>
      <c r="BB145">
        <f ca="1">IFERROR(IF(0=LEN(ReferenceData!$BB$145),"",ReferenceData!$BB$145),"")</f>
        <v>527000</v>
      </c>
      <c r="BC145">
        <f ca="1">IFERROR(IF(0=LEN(ReferenceData!$BC$145),"",ReferenceData!$BC$145),"")</f>
        <v>523000</v>
      </c>
      <c r="BD145">
        <f ca="1">IFERROR(IF(0=LEN(ReferenceData!$BD$145),"",ReferenceData!$BD$145),"")</f>
        <v>525000</v>
      </c>
      <c r="BE145">
        <f ca="1">IFERROR(IF(0=LEN(ReferenceData!$BE$145),"",ReferenceData!$BE$145),"")</f>
        <v>526000</v>
      </c>
      <c r="BF145">
        <f ca="1">IFERROR(IF(0=LEN(ReferenceData!$BF$145),"",ReferenceData!$BF$145),"")</f>
        <v>518000</v>
      </c>
      <c r="BG145">
        <f ca="1">IFERROR(IF(0=LEN(ReferenceData!$BG$145),"",ReferenceData!$BG$145),"")</f>
        <v>519000</v>
      </c>
      <c r="BH145">
        <f ca="1">IFERROR(IF(0=LEN(ReferenceData!$BH$145),"",ReferenceData!$BH$145),"")</f>
        <v>517000</v>
      </c>
      <c r="BI145">
        <f ca="1">IFERROR(IF(0=LEN(ReferenceData!$BI$145),"",ReferenceData!$BI$145),"")</f>
        <v>521000</v>
      </c>
      <c r="BJ145">
        <f ca="1">IFERROR(IF(0=LEN(ReferenceData!$BJ$145),"",ReferenceData!$BJ$145),"")</f>
        <v>520000</v>
      </c>
      <c r="BK145">
        <f ca="1">IFERROR(IF(0=LEN(ReferenceData!$BK$145),"",ReferenceData!$BK$145),"")</f>
        <v>548000</v>
      </c>
      <c r="BL145">
        <f ca="1">IFERROR(IF(0=LEN(ReferenceData!$BL$145),"",ReferenceData!$BL$145),"")</f>
        <v>551000</v>
      </c>
      <c r="BM145" t="str">
        <f ca="1">IFERROR(IF(0=LEN(ReferenceData!$BM$145),"",ReferenceData!$BM$145),"")</f>
        <v/>
      </c>
    </row>
    <row r="146" spans="1:65">
      <c r="A146" t="str">
        <f>IFERROR(IF(0=LEN(ReferenceData!$A$146),"",ReferenceData!$A$146),"")</f>
        <v xml:space="preserve">    Western Alliance Bancorp</v>
      </c>
      <c r="B146" t="str">
        <f>IFERROR(IF(0=LEN(ReferenceData!$B$146),"",ReferenceData!$B$146),"")</f>
        <v>WAL US Equity</v>
      </c>
      <c r="C146" t="str">
        <f>IFERROR(IF(0=LEN(ReferenceData!$C$146),"",ReferenceData!$C$146),"")</f>
        <v>BS965</v>
      </c>
      <c r="D146" t="str">
        <f>IFERROR(IF(0=LEN(ReferenceData!$D$146),"",ReferenceData!$D$146),"")</f>
        <v>BS_COMML_MTG_SERVICING_PORTFOLIO</v>
      </c>
      <c r="E146" t="str">
        <f>IFERROR(IF(0=LEN(ReferenceData!$E$146),"",ReferenceData!$E$146),"")</f>
        <v>Dynamic</v>
      </c>
      <c r="F146" t="str">
        <f ca="1">IFERROR(IF(0=LEN(ReferenceData!$F$146),"",ReferenceData!$F$146),"")</f>
        <v/>
      </c>
      <c r="G146" t="str">
        <f ca="1">IFERROR(IF(0=LEN(ReferenceData!$G$146),"",ReferenceData!$G$146),"")</f>
        <v/>
      </c>
      <c r="H146" t="str">
        <f ca="1">IFERROR(IF(0=LEN(ReferenceData!$H$146),"",ReferenceData!$H$146),"")</f>
        <v/>
      </c>
      <c r="I146" t="str">
        <f ca="1">IFERROR(IF(0=LEN(ReferenceData!$I$146),"",ReferenceData!$I$146),"")</f>
        <v/>
      </c>
      <c r="J146" t="str">
        <f ca="1">IFERROR(IF(0=LEN(ReferenceData!$J$146),"",ReferenceData!$J$146),"")</f>
        <v/>
      </c>
      <c r="K146" t="str">
        <f ca="1">IFERROR(IF(0=LEN(ReferenceData!$K$146),"",ReferenceData!$K$146),"")</f>
        <v/>
      </c>
      <c r="L146" t="str">
        <f ca="1">IFERROR(IF(0=LEN(ReferenceData!$L$146),"",ReferenceData!$L$146),"")</f>
        <v/>
      </c>
      <c r="M146" t="str">
        <f ca="1">IFERROR(IF(0=LEN(ReferenceData!$M$146),"",ReferenceData!$M$146),"")</f>
        <v/>
      </c>
      <c r="N146" t="str">
        <f ca="1">IFERROR(IF(0=LEN(ReferenceData!$N$146),"",ReferenceData!$N$146),"")</f>
        <v/>
      </c>
      <c r="O146" t="str">
        <f ca="1">IFERROR(IF(0=LEN(ReferenceData!$O$146),"",ReferenceData!$O$146),"")</f>
        <v/>
      </c>
      <c r="P146" t="str">
        <f ca="1">IFERROR(IF(0=LEN(ReferenceData!$P$146),"",ReferenceData!$P$146),"")</f>
        <v/>
      </c>
      <c r="Q146" t="str">
        <f ca="1">IFERROR(IF(0=LEN(ReferenceData!$Q$146),"",ReferenceData!$Q$146),"")</f>
        <v/>
      </c>
      <c r="R146" t="str">
        <f ca="1">IFERROR(IF(0=LEN(ReferenceData!$R$146),"",ReferenceData!$R$146),"")</f>
        <v/>
      </c>
      <c r="S146" t="str">
        <f ca="1">IFERROR(IF(0=LEN(ReferenceData!$S$146),"",ReferenceData!$S$146),"")</f>
        <v/>
      </c>
      <c r="T146" t="str">
        <f ca="1">IFERROR(IF(0=LEN(ReferenceData!$T$146),"",ReferenceData!$T$146),"")</f>
        <v/>
      </c>
      <c r="U146" t="str">
        <f ca="1">IFERROR(IF(0=LEN(ReferenceData!$U$146),"",ReferenceData!$U$146),"")</f>
        <v/>
      </c>
      <c r="V146" t="str">
        <f ca="1">IFERROR(IF(0=LEN(ReferenceData!$V$146),"",ReferenceData!$V$146),"")</f>
        <v/>
      </c>
      <c r="W146" t="str">
        <f ca="1">IFERROR(IF(0=LEN(ReferenceData!$W$146),"",ReferenceData!$W$146),"")</f>
        <v/>
      </c>
      <c r="X146" t="str">
        <f ca="1">IFERROR(IF(0=LEN(ReferenceData!$X$146),"",ReferenceData!$X$146),"")</f>
        <v/>
      </c>
      <c r="Y146" t="str">
        <f ca="1">IFERROR(IF(0=LEN(ReferenceData!$Y$146),"",ReferenceData!$Y$146),"")</f>
        <v/>
      </c>
      <c r="Z146" t="str">
        <f ca="1">IFERROR(IF(0=LEN(ReferenceData!$Z$146),"",ReferenceData!$Z$146),"")</f>
        <v/>
      </c>
      <c r="AA146" t="str">
        <f ca="1">IFERROR(IF(0=LEN(ReferenceData!$AA$146),"",ReferenceData!$AA$146),"")</f>
        <v/>
      </c>
      <c r="AB146" t="str">
        <f ca="1">IFERROR(IF(0=LEN(ReferenceData!$AB$146),"",ReferenceData!$AB$146),"")</f>
        <v/>
      </c>
      <c r="AC146" t="str">
        <f ca="1">IFERROR(IF(0=LEN(ReferenceData!$AC$146),"",ReferenceData!$AC$146),"")</f>
        <v/>
      </c>
      <c r="AD146" t="str">
        <f ca="1">IFERROR(IF(0=LEN(ReferenceData!$AD$146),"",ReferenceData!$AD$146),"")</f>
        <v/>
      </c>
      <c r="AE146" t="str">
        <f ca="1">IFERROR(IF(0=LEN(ReferenceData!$AE$146),"",ReferenceData!$AE$146),"")</f>
        <v/>
      </c>
      <c r="AF146" t="str">
        <f ca="1">IFERROR(IF(0=LEN(ReferenceData!$AF$146),"",ReferenceData!$AF$146),"")</f>
        <v/>
      </c>
      <c r="AG146" t="str">
        <f ca="1">IFERROR(IF(0=LEN(ReferenceData!$AG$146),"",ReferenceData!$AG$146),"")</f>
        <v/>
      </c>
      <c r="AH146" t="str">
        <f ca="1">IFERROR(IF(0=LEN(ReferenceData!$AH$146),"",ReferenceData!$AH$146),"")</f>
        <v/>
      </c>
      <c r="AI146" t="str">
        <f ca="1">IFERROR(IF(0=LEN(ReferenceData!$AI$146),"",ReferenceData!$AI$146),"")</f>
        <v/>
      </c>
      <c r="AJ146" t="str">
        <f ca="1">IFERROR(IF(0=LEN(ReferenceData!$AJ$146),"",ReferenceData!$AJ$146),"")</f>
        <v/>
      </c>
      <c r="AK146" t="str">
        <f ca="1">IFERROR(IF(0=LEN(ReferenceData!$AK$146),"",ReferenceData!$AK$146),"")</f>
        <v/>
      </c>
      <c r="AL146" t="str">
        <f ca="1">IFERROR(IF(0=LEN(ReferenceData!$AL$146),"",ReferenceData!$AL$146),"")</f>
        <v/>
      </c>
      <c r="AM146" t="str">
        <f ca="1">IFERROR(IF(0=LEN(ReferenceData!$AM$146),"",ReferenceData!$AM$146),"")</f>
        <v/>
      </c>
      <c r="AN146" t="str">
        <f ca="1">IFERROR(IF(0=LEN(ReferenceData!$AN$146),"",ReferenceData!$AN$146),"")</f>
        <v/>
      </c>
      <c r="AO146" t="str">
        <f ca="1">IFERROR(IF(0=LEN(ReferenceData!$AO$146),"",ReferenceData!$AO$146),"")</f>
        <v/>
      </c>
      <c r="AP146" t="str">
        <f ca="1">IFERROR(IF(0=LEN(ReferenceData!$AP$146),"",ReferenceData!$AP$146),"")</f>
        <v/>
      </c>
      <c r="AQ146" t="str">
        <f ca="1">IFERROR(IF(0=LEN(ReferenceData!$AQ$146),"",ReferenceData!$AQ$146),"")</f>
        <v/>
      </c>
      <c r="AR146" t="str">
        <f ca="1">IFERROR(IF(0=LEN(ReferenceData!$AR$146),"",ReferenceData!$AR$146),"")</f>
        <v/>
      </c>
      <c r="AS146" t="str">
        <f ca="1">IFERROR(IF(0=LEN(ReferenceData!$AS$146),"",ReferenceData!$AS$146),"")</f>
        <v/>
      </c>
      <c r="AT146" t="str">
        <f ca="1">IFERROR(IF(0=LEN(ReferenceData!$AT$146),"",ReferenceData!$AT$146),"")</f>
        <v/>
      </c>
      <c r="AU146" t="str">
        <f ca="1">IFERROR(IF(0=LEN(ReferenceData!$AU$146),"",ReferenceData!$AU$146),"")</f>
        <v/>
      </c>
      <c r="AV146" t="str">
        <f ca="1">IFERROR(IF(0=LEN(ReferenceData!$AV$146),"",ReferenceData!$AV$146),"")</f>
        <v/>
      </c>
      <c r="AW146" t="str">
        <f ca="1">IFERROR(IF(0=LEN(ReferenceData!$AW$146),"",ReferenceData!$AW$146),"")</f>
        <v/>
      </c>
      <c r="AX146" t="str">
        <f ca="1">IFERROR(IF(0=LEN(ReferenceData!$AX$146),"",ReferenceData!$AX$146),"")</f>
        <v/>
      </c>
      <c r="AY146" t="str">
        <f ca="1">IFERROR(IF(0=LEN(ReferenceData!$AY$146),"",ReferenceData!$AY$146),"")</f>
        <v/>
      </c>
      <c r="AZ146" t="str">
        <f ca="1">IFERROR(IF(0=LEN(ReferenceData!$AZ$146),"",ReferenceData!$AZ$146),"")</f>
        <v/>
      </c>
      <c r="BA146" t="str">
        <f ca="1">IFERROR(IF(0=LEN(ReferenceData!$BA$146),"",ReferenceData!$BA$146),"")</f>
        <v/>
      </c>
      <c r="BB146" t="str">
        <f ca="1">IFERROR(IF(0=LEN(ReferenceData!$BB$146),"",ReferenceData!$BB$146),"")</f>
        <v/>
      </c>
      <c r="BC146" t="str">
        <f ca="1">IFERROR(IF(0=LEN(ReferenceData!$BC$146),"",ReferenceData!$BC$146),"")</f>
        <v/>
      </c>
      <c r="BD146" t="str">
        <f ca="1">IFERROR(IF(0=LEN(ReferenceData!$BD$146),"",ReferenceData!$BD$146),"")</f>
        <v/>
      </c>
      <c r="BE146" t="str">
        <f ca="1">IFERROR(IF(0=LEN(ReferenceData!$BE$146),"",ReferenceData!$BE$146),"")</f>
        <v/>
      </c>
      <c r="BF146" t="str">
        <f ca="1">IFERROR(IF(0=LEN(ReferenceData!$BF$146),"",ReferenceData!$BF$146),"")</f>
        <v/>
      </c>
      <c r="BG146" t="str">
        <f ca="1">IFERROR(IF(0=LEN(ReferenceData!$BG$146),"",ReferenceData!$BG$146),"")</f>
        <v/>
      </c>
      <c r="BH146" t="str">
        <f ca="1">IFERROR(IF(0=LEN(ReferenceData!$BH$146),"",ReferenceData!$BH$146),"")</f>
        <v/>
      </c>
      <c r="BI146" t="str">
        <f ca="1">IFERROR(IF(0=LEN(ReferenceData!$BI$146),"",ReferenceData!$BI$146),"")</f>
        <v/>
      </c>
      <c r="BJ146" t="str">
        <f ca="1">IFERROR(IF(0=LEN(ReferenceData!$BJ$146),"",ReferenceData!$BJ$146),"")</f>
        <v/>
      </c>
      <c r="BK146" t="str">
        <f ca="1">IFERROR(IF(0=LEN(ReferenceData!$BK$146),"",ReferenceData!$BK$146),"")</f>
        <v/>
      </c>
      <c r="BL146" t="str">
        <f ca="1">IFERROR(IF(0=LEN(ReferenceData!$BL$146),"",ReferenceData!$BL$146),"")</f>
        <v/>
      </c>
      <c r="BM146" t="str">
        <f ca="1">IFERROR(IF(0=LEN(ReferenceData!$BM$146),"",ReferenceData!$BM$146),"")</f>
        <v/>
      </c>
    </row>
    <row r="147" spans="1:65">
      <c r="A147" t="str">
        <f>IFERROR(IF(0=LEN(ReferenceData!$A$147),"",ReferenceData!$A$147),"")</f>
        <v xml:space="preserve">    Zions Bancorp NA</v>
      </c>
      <c r="B147" t="str">
        <f>IFERROR(IF(0=LEN(ReferenceData!$B$147),"",ReferenceData!$B$147),"")</f>
        <v>ZION US Equity</v>
      </c>
      <c r="C147" t="str">
        <f>IFERROR(IF(0=LEN(ReferenceData!$C$147),"",ReferenceData!$C$147),"")</f>
        <v>BS965</v>
      </c>
      <c r="D147" t="str">
        <f>IFERROR(IF(0=LEN(ReferenceData!$D$147),"",ReferenceData!$D$147),"")</f>
        <v>BS_COMML_MTG_SERVICING_PORTFOLIO</v>
      </c>
      <c r="E147" t="str">
        <f>IFERROR(IF(0=LEN(ReferenceData!$E$147),"",ReferenceData!$E$147),"")</f>
        <v>Dynamic</v>
      </c>
      <c r="F147" t="str">
        <f ca="1">IFERROR(IF(0=LEN(ReferenceData!$F$147),"",ReferenceData!$F$147),"")</f>
        <v/>
      </c>
      <c r="G147" t="str">
        <f ca="1">IFERROR(IF(0=LEN(ReferenceData!$G$147),"",ReferenceData!$G$147),"")</f>
        <v/>
      </c>
      <c r="H147" t="str">
        <f ca="1">IFERROR(IF(0=LEN(ReferenceData!$H$147),"",ReferenceData!$H$147),"")</f>
        <v/>
      </c>
      <c r="I147" t="str">
        <f ca="1">IFERROR(IF(0=LEN(ReferenceData!$I$147),"",ReferenceData!$I$147),"")</f>
        <v/>
      </c>
      <c r="J147" t="str">
        <f ca="1">IFERROR(IF(0=LEN(ReferenceData!$J$147),"",ReferenceData!$J$147),"")</f>
        <v/>
      </c>
      <c r="K147" t="str">
        <f ca="1">IFERROR(IF(0=LEN(ReferenceData!$K$147),"",ReferenceData!$K$147),"")</f>
        <v/>
      </c>
      <c r="L147" t="str">
        <f ca="1">IFERROR(IF(0=LEN(ReferenceData!$L$147),"",ReferenceData!$L$147),"")</f>
        <v/>
      </c>
      <c r="M147" t="str">
        <f ca="1">IFERROR(IF(0=LEN(ReferenceData!$M$147),"",ReferenceData!$M$147),"")</f>
        <v/>
      </c>
      <c r="N147" t="str">
        <f ca="1">IFERROR(IF(0=LEN(ReferenceData!$N$147),"",ReferenceData!$N$147),"")</f>
        <v/>
      </c>
      <c r="O147" t="str">
        <f ca="1">IFERROR(IF(0=LEN(ReferenceData!$O$147),"",ReferenceData!$O$147),"")</f>
        <v/>
      </c>
      <c r="P147" t="str">
        <f ca="1">IFERROR(IF(0=LEN(ReferenceData!$P$147),"",ReferenceData!$P$147),"")</f>
        <v/>
      </c>
      <c r="Q147" t="str">
        <f ca="1">IFERROR(IF(0=LEN(ReferenceData!$Q$147),"",ReferenceData!$Q$147),"")</f>
        <v/>
      </c>
      <c r="R147" t="str">
        <f ca="1">IFERROR(IF(0=LEN(ReferenceData!$R$147),"",ReferenceData!$R$147),"")</f>
        <v/>
      </c>
      <c r="S147" t="str">
        <f ca="1">IFERROR(IF(0=LEN(ReferenceData!$S$147),"",ReferenceData!$S$147),"")</f>
        <v/>
      </c>
      <c r="T147" t="str">
        <f ca="1">IFERROR(IF(0=LEN(ReferenceData!$T$147),"",ReferenceData!$T$147),"")</f>
        <v/>
      </c>
      <c r="U147" t="str">
        <f ca="1">IFERROR(IF(0=LEN(ReferenceData!$U$147),"",ReferenceData!$U$147),"")</f>
        <v/>
      </c>
      <c r="V147" t="str">
        <f ca="1">IFERROR(IF(0=LEN(ReferenceData!$V$147),"",ReferenceData!$V$147),"")</f>
        <v/>
      </c>
      <c r="W147" t="str">
        <f ca="1">IFERROR(IF(0=LEN(ReferenceData!$W$147),"",ReferenceData!$W$147),"")</f>
        <v/>
      </c>
      <c r="X147" t="str">
        <f ca="1">IFERROR(IF(0=LEN(ReferenceData!$X$147),"",ReferenceData!$X$147),"")</f>
        <v/>
      </c>
      <c r="Y147" t="str">
        <f ca="1">IFERROR(IF(0=LEN(ReferenceData!$Y$147),"",ReferenceData!$Y$147),"")</f>
        <v/>
      </c>
      <c r="Z147" t="str">
        <f ca="1">IFERROR(IF(0=LEN(ReferenceData!$Z$147),"",ReferenceData!$Z$147),"")</f>
        <v/>
      </c>
      <c r="AA147" t="str">
        <f ca="1">IFERROR(IF(0=LEN(ReferenceData!$AA$147),"",ReferenceData!$AA$147),"")</f>
        <v/>
      </c>
      <c r="AB147" t="str">
        <f ca="1">IFERROR(IF(0=LEN(ReferenceData!$AB$147),"",ReferenceData!$AB$147),"")</f>
        <v/>
      </c>
      <c r="AC147" t="str">
        <f ca="1">IFERROR(IF(0=LEN(ReferenceData!$AC$147),"",ReferenceData!$AC$147),"")</f>
        <v/>
      </c>
      <c r="AD147" t="str">
        <f ca="1">IFERROR(IF(0=LEN(ReferenceData!$AD$147),"",ReferenceData!$AD$147),"")</f>
        <v/>
      </c>
      <c r="AE147" t="str">
        <f ca="1">IFERROR(IF(0=LEN(ReferenceData!$AE$147),"",ReferenceData!$AE$147),"")</f>
        <v/>
      </c>
      <c r="AF147" t="str">
        <f ca="1">IFERROR(IF(0=LEN(ReferenceData!$AF$147),"",ReferenceData!$AF$147),"")</f>
        <v/>
      </c>
      <c r="AG147" t="str">
        <f ca="1">IFERROR(IF(0=LEN(ReferenceData!$AG$147),"",ReferenceData!$AG$147),"")</f>
        <v/>
      </c>
      <c r="AH147" t="str">
        <f ca="1">IFERROR(IF(0=LEN(ReferenceData!$AH$147),"",ReferenceData!$AH$147),"")</f>
        <v/>
      </c>
      <c r="AI147" t="str">
        <f ca="1">IFERROR(IF(0=LEN(ReferenceData!$AI$147),"",ReferenceData!$AI$147),"")</f>
        <v/>
      </c>
      <c r="AJ147" t="str">
        <f ca="1">IFERROR(IF(0=LEN(ReferenceData!$AJ$147),"",ReferenceData!$AJ$147),"")</f>
        <v/>
      </c>
      <c r="AK147" t="str">
        <f ca="1">IFERROR(IF(0=LEN(ReferenceData!$AK$147),"",ReferenceData!$AK$147),"")</f>
        <v/>
      </c>
      <c r="AL147" t="str">
        <f ca="1">IFERROR(IF(0=LEN(ReferenceData!$AL$147),"",ReferenceData!$AL$147),"")</f>
        <v/>
      </c>
      <c r="AM147" t="str">
        <f ca="1">IFERROR(IF(0=LEN(ReferenceData!$AM$147),"",ReferenceData!$AM$147),"")</f>
        <v/>
      </c>
      <c r="AN147" t="str">
        <f ca="1">IFERROR(IF(0=LEN(ReferenceData!$AN$147),"",ReferenceData!$AN$147),"")</f>
        <v/>
      </c>
      <c r="AO147" t="str">
        <f ca="1">IFERROR(IF(0=LEN(ReferenceData!$AO$147),"",ReferenceData!$AO$147),"")</f>
        <v/>
      </c>
      <c r="AP147" t="str">
        <f ca="1">IFERROR(IF(0=LEN(ReferenceData!$AP$147),"",ReferenceData!$AP$147),"")</f>
        <v/>
      </c>
      <c r="AQ147" t="str">
        <f ca="1">IFERROR(IF(0=LEN(ReferenceData!$AQ$147),"",ReferenceData!$AQ$147),"")</f>
        <v/>
      </c>
      <c r="AR147" t="str">
        <f ca="1">IFERROR(IF(0=LEN(ReferenceData!$AR$147),"",ReferenceData!$AR$147),"")</f>
        <v/>
      </c>
      <c r="AS147" t="str">
        <f ca="1">IFERROR(IF(0=LEN(ReferenceData!$AS$147),"",ReferenceData!$AS$147),"")</f>
        <v/>
      </c>
      <c r="AT147" t="str">
        <f ca="1">IFERROR(IF(0=LEN(ReferenceData!$AT$147),"",ReferenceData!$AT$147),"")</f>
        <v/>
      </c>
      <c r="AU147" t="str">
        <f ca="1">IFERROR(IF(0=LEN(ReferenceData!$AU$147),"",ReferenceData!$AU$147),"")</f>
        <v/>
      </c>
      <c r="AV147" t="str">
        <f ca="1">IFERROR(IF(0=LEN(ReferenceData!$AV$147),"",ReferenceData!$AV$147),"")</f>
        <v/>
      </c>
      <c r="AW147" t="str">
        <f ca="1">IFERROR(IF(0=LEN(ReferenceData!$AW$147),"",ReferenceData!$AW$147),"")</f>
        <v/>
      </c>
      <c r="AX147" t="str">
        <f ca="1">IFERROR(IF(0=LEN(ReferenceData!$AX$147),"",ReferenceData!$AX$147),"")</f>
        <v/>
      </c>
      <c r="AY147" t="str">
        <f ca="1">IFERROR(IF(0=LEN(ReferenceData!$AY$147),"",ReferenceData!$AY$147),"")</f>
        <v/>
      </c>
      <c r="AZ147" t="str">
        <f ca="1">IFERROR(IF(0=LEN(ReferenceData!$AZ$147),"",ReferenceData!$AZ$147),"")</f>
        <v/>
      </c>
      <c r="BA147" t="str">
        <f ca="1">IFERROR(IF(0=LEN(ReferenceData!$BA$147),"",ReferenceData!$BA$147),"")</f>
        <v/>
      </c>
      <c r="BB147" t="str">
        <f ca="1">IFERROR(IF(0=LEN(ReferenceData!$BB$147),"",ReferenceData!$BB$147),"")</f>
        <v/>
      </c>
      <c r="BC147" t="str">
        <f ca="1">IFERROR(IF(0=LEN(ReferenceData!$BC$147),"",ReferenceData!$BC$147),"")</f>
        <v/>
      </c>
      <c r="BD147" t="str">
        <f ca="1">IFERROR(IF(0=LEN(ReferenceData!$BD$147),"",ReferenceData!$BD$147),"")</f>
        <v/>
      </c>
      <c r="BE147" t="str">
        <f ca="1">IFERROR(IF(0=LEN(ReferenceData!$BE$147),"",ReferenceData!$BE$147),"")</f>
        <v/>
      </c>
      <c r="BF147" t="str">
        <f ca="1">IFERROR(IF(0=LEN(ReferenceData!$BF$147),"",ReferenceData!$BF$147),"")</f>
        <v/>
      </c>
      <c r="BG147" t="str">
        <f ca="1">IFERROR(IF(0=LEN(ReferenceData!$BG$147),"",ReferenceData!$BG$147),"")</f>
        <v/>
      </c>
      <c r="BH147" t="str">
        <f ca="1">IFERROR(IF(0=LEN(ReferenceData!$BH$147),"",ReferenceData!$BH$147),"")</f>
        <v/>
      </c>
      <c r="BI147" t="str">
        <f ca="1">IFERROR(IF(0=LEN(ReferenceData!$BI$147),"",ReferenceData!$BI$147),"")</f>
        <v/>
      </c>
      <c r="BJ147" t="str">
        <f ca="1">IFERROR(IF(0=LEN(ReferenceData!$BJ$147),"",ReferenceData!$BJ$147),"")</f>
        <v/>
      </c>
      <c r="BK147" t="str">
        <f ca="1">IFERROR(IF(0=LEN(ReferenceData!$BK$147),"",ReferenceData!$BK$147),"")</f>
        <v/>
      </c>
      <c r="BL147" t="str">
        <f ca="1">IFERROR(IF(0=LEN(ReferenceData!$BL$147),"",ReferenceData!$BL$147),"")</f>
        <v/>
      </c>
      <c r="BM147" t="str">
        <f ca="1">IFERROR(IF(0=LEN(ReferenceData!$BM$147),"",ReferenceData!$BM$147),"")</f>
        <v/>
      </c>
    </row>
    <row r="148" spans="1:65">
      <c r="A148" s="2" t="str">
        <f>IFERROR(IF(0=LEN(ReferenceData!$A$148),"",ReferenceData!$A$148),"")</f>
        <v>Commercial Mortgages Serviced for Others</v>
      </c>
      <c r="B148" t="str">
        <f>IFERROR(IF(0=LEN(ReferenceData!$B$148),"",ReferenceData!$B$148),"")</f>
        <v/>
      </c>
      <c r="C148" t="str">
        <f>IFERROR(IF(0=LEN(ReferenceData!$C$148),"",ReferenceData!$C$148),"")</f>
        <v/>
      </c>
      <c r="D148" t="str">
        <f>IFERROR(IF(0=LEN(ReferenceData!$D$148),"",ReferenceData!$D$148),"")</f>
        <v/>
      </c>
      <c r="E148" t="str">
        <f>IFERROR(IF(0=LEN(ReferenceData!$E$148),"",ReferenceData!$E$148),"")</f>
        <v>Sum</v>
      </c>
      <c r="F148">
        <f ca="1">IFERROR(IF(0=LEN(ReferenceData!$F$148),"",ReferenceData!$F$148),"")</f>
        <v>590961</v>
      </c>
      <c r="G148">
        <f ca="1">IFERROR(IF(0=LEN(ReferenceData!$G$148),"",ReferenceData!$G$148),"")</f>
        <v>597593</v>
      </c>
      <c r="H148">
        <f ca="1">IFERROR(IF(0=LEN(ReferenceData!$H$148),"",ReferenceData!$H$148),"")</f>
        <v>602048</v>
      </c>
      <c r="I148">
        <f ca="1">IFERROR(IF(0=LEN(ReferenceData!$I$148),"",ReferenceData!$I$148),"")</f>
        <v>603384</v>
      </c>
      <c r="J148">
        <f ca="1">IFERROR(IF(0=LEN(ReferenceData!$J$148),"",ReferenceData!$J$148),"")</f>
        <v>608366</v>
      </c>
      <c r="K148">
        <f ca="1">IFERROR(IF(0=LEN(ReferenceData!$K$148),"",ReferenceData!$K$148),"")</f>
        <v>616573.13599999994</v>
      </c>
      <c r="L148">
        <f ca="1">IFERROR(IF(0=LEN(ReferenceData!$L$148),"",ReferenceData!$L$148),"")</f>
        <v>624724</v>
      </c>
      <c r="M148">
        <f ca="1">IFERROR(IF(0=LEN(ReferenceData!$M$148),"",ReferenceData!$M$148),"")</f>
        <v>634141</v>
      </c>
      <c r="N148">
        <f ca="1">IFERROR(IF(0=LEN(ReferenceData!$N$148),"",ReferenceData!$N$148),"")</f>
        <v>640236</v>
      </c>
      <c r="O148">
        <f ca="1">IFERROR(IF(0=LEN(ReferenceData!$O$148),"",ReferenceData!$O$148),"")</f>
        <v>647993</v>
      </c>
      <c r="P148">
        <f ca="1">IFERROR(IF(0=LEN(ReferenceData!$P$148),"",ReferenceData!$P$148),"")</f>
        <v>656760</v>
      </c>
      <c r="Q148">
        <f ca="1">IFERROR(IF(0=LEN(ReferenceData!$Q$148),"",ReferenceData!$Q$148),"")</f>
        <v>658589</v>
      </c>
      <c r="R148">
        <f ca="1">IFERROR(IF(0=LEN(ReferenceData!$R$148),"",ReferenceData!$R$148),"")</f>
        <v>659270</v>
      </c>
      <c r="S148">
        <f ca="1">IFERROR(IF(0=LEN(ReferenceData!$S$148),"",ReferenceData!$S$148),"")</f>
        <v>697257</v>
      </c>
      <c r="T148">
        <f ca="1">IFERROR(IF(0=LEN(ReferenceData!$T$148),"",ReferenceData!$T$148),"")</f>
        <v>694849</v>
      </c>
      <c r="U148">
        <f ca="1">IFERROR(IF(0=LEN(ReferenceData!$U$148),"",ReferenceData!$U$148),"")</f>
        <v>642228</v>
      </c>
      <c r="V148">
        <f ca="1">IFERROR(IF(0=LEN(ReferenceData!$V$148),"",ReferenceData!$V$148),"")</f>
        <v>642523</v>
      </c>
      <c r="W148">
        <f ca="1">IFERROR(IF(0=LEN(ReferenceData!$W$148),"",ReferenceData!$W$148),"")</f>
        <v>616331</v>
      </c>
      <c r="X148">
        <f ca="1">IFERROR(IF(0=LEN(ReferenceData!$X$148),"",ReferenceData!$X$148),"")</f>
        <v>715814</v>
      </c>
      <c r="Y148">
        <f ca="1">IFERROR(IF(0=LEN(ReferenceData!$Y$148),"",ReferenceData!$Y$148),"")</f>
        <v>706873</v>
      </c>
      <c r="Z148">
        <f ca="1">IFERROR(IF(0=LEN(ReferenceData!$Z$148),"",ReferenceData!$Z$148),"")</f>
        <v>657858</v>
      </c>
      <c r="AA148">
        <f ca="1">IFERROR(IF(0=LEN(ReferenceData!$AA$148),"",ReferenceData!$AA$148),"")</f>
        <v>653530</v>
      </c>
      <c r="AB148">
        <f ca="1">IFERROR(IF(0=LEN(ReferenceData!$AB$148),"",ReferenceData!$AB$148),"")</f>
        <v>653821</v>
      </c>
      <c r="AC148">
        <f ca="1">IFERROR(IF(0=LEN(ReferenceData!$AC$148),"",ReferenceData!$AC$148),"")</f>
        <v>635144</v>
      </c>
      <c r="AD148">
        <f ca="1">IFERROR(IF(0=LEN(ReferenceData!$AD$148),"",ReferenceData!$AD$148),"")</f>
        <v>46796</v>
      </c>
      <c r="AE148">
        <f ca="1">IFERROR(IF(0=LEN(ReferenceData!$AE$148),"",ReferenceData!$AE$148),"")</f>
        <v>616945</v>
      </c>
      <c r="AF148">
        <f ca="1">IFERROR(IF(0=LEN(ReferenceData!$AF$148),"",ReferenceData!$AF$148),"")</f>
        <v>599377</v>
      </c>
      <c r="AG148">
        <f ca="1">IFERROR(IF(0=LEN(ReferenceData!$AG$148),"",ReferenceData!$AG$148),"")</f>
        <v>593540</v>
      </c>
      <c r="AH148">
        <f ca="1">IFERROR(IF(0=LEN(ReferenceData!$AH$148),"",ReferenceData!$AH$148),"")</f>
        <v>539881</v>
      </c>
      <c r="AI148">
        <f ca="1">IFERROR(IF(0=LEN(ReferenceData!$AI$148),"",ReferenceData!$AI$148),"")</f>
        <v>567676</v>
      </c>
      <c r="AJ148">
        <f ca="1">IFERROR(IF(0=LEN(ReferenceData!$AJ$148),"",ReferenceData!$AJ$148),"")</f>
        <v>554166</v>
      </c>
      <c r="AK148">
        <f ca="1">IFERROR(IF(0=LEN(ReferenceData!$AK$148),"",ReferenceData!$AK$148),"")</f>
        <v>544335</v>
      </c>
      <c r="AL148">
        <f ca="1">IFERROR(IF(0=LEN(ReferenceData!$AL$148),"",ReferenceData!$AL$148),"")</f>
        <v>520359</v>
      </c>
      <c r="AM148">
        <f ca="1">IFERROR(IF(0=LEN(ReferenceData!$AM$148),"",ReferenceData!$AM$148),"")</f>
        <v>538497</v>
      </c>
      <c r="AN148">
        <f ca="1">IFERROR(IF(0=LEN(ReferenceData!$AN$148),"",ReferenceData!$AN$148),"")</f>
        <v>541309</v>
      </c>
      <c r="AO148">
        <f ca="1">IFERROR(IF(0=LEN(ReferenceData!$AO$148),"",ReferenceData!$AO$148),"")</f>
        <v>572776</v>
      </c>
      <c r="AP148">
        <f ca="1">IFERROR(IF(0=LEN(ReferenceData!$AP$148),"",ReferenceData!$AP$148),"")</f>
        <v>517787</v>
      </c>
      <c r="AQ148">
        <f ca="1">IFERROR(IF(0=LEN(ReferenceData!$AQ$148),"",ReferenceData!$AQ$148),"")</f>
        <v>538281</v>
      </c>
      <c r="AR148">
        <f ca="1">IFERROR(IF(0=LEN(ReferenceData!$AR$148),"",ReferenceData!$AR$148),"")</f>
        <v>535543</v>
      </c>
      <c r="AS148">
        <f ca="1">IFERROR(IF(0=LEN(ReferenceData!$AS$148),"",ReferenceData!$AS$148),"")</f>
        <v>529519</v>
      </c>
      <c r="AT148">
        <f ca="1">IFERROR(IF(0=LEN(ReferenceData!$AT$148),"",ReferenceData!$AT$148),"")</f>
        <v>499499</v>
      </c>
      <c r="AU148">
        <f ca="1">IFERROR(IF(0=LEN(ReferenceData!$AU$148),"",ReferenceData!$AU$148),"")</f>
        <v>482213</v>
      </c>
      <c r="AV148">
        <f ca="1">IFERROR(IF(0=LEN(ReferenceData!$AV$148),"",ReferenceData!$AV$148),"")</f>
        <v>471074</v>
      </c>
      <c r="AW148">
        <f ca="1">IFERROR(IF(0=LEN(ReferenceData!$AW$148),"",ReferenceData!$AW$148),"")</f>
        <v>498658</v>
      </c>
      <c r="AX148">
        <f ca="1">IFERROR(IF(0=LEN(ReferenceData!$AX$148),"",ReferenceData!$AX$148),"")</f>
        <v>521780</v>
      </c>
      <c r="AY148">
        <f ca="1">IFERROR(IF(0=LEN(ReferenceData!$AY$148),"",ReferenceData!$AY$148),"")</f>
        <v>458833</v>
      </c>
      <c r="AZ148">
        <f ca="1">IFERROR(IF(0=LEN(ReferenceData!$AZ$148),"",ReferenceData!$AZ$148),"")</f>
        <v>452554</v>
      </c>
      <c r="BA148">
        <f ca="1">IFERROR(IF(0=LEN(ReferenceData!$BA$148),"",ReferenceData!$BA$148),"")</f>
        <v>447844</v>
      </c>
      <c r="BB148">
        <f ca="1">IFERROR(IF(0=LEN(ReferenceData!$BB$148),"",ReferenceData!$BB$148),"")</f>
        <v>452245</v>
      </c>
      <c r="BC148">
        <f ca="1">IFERROR(IF(0=LEN(ReferenceData!$BC$148),"",ReferenceData!$BC$148),"")</f>
        <v>445406</v>
      </c>
      <c r="BD148">
        <f ca="1">IFERROR(IF(0=LEN(ReferenceData!$BD$148),"",ReferenceData!$BD$148),"")</f>
        <v>453097</v>
      </c>
      <c r="BE148">
        <f ca="1">IFERROR(IF(0=LEN(ReferenceData!$BE$148),"",ReferenceData!$BE$148),"")</f>
        <v>447019</v>
      </c>
      <c r="BF148">
        <f ca="1">IFERROR(IF(0=LEN(ReferenceData!$BF$148),"",ReferenceData!$BF$148),"")</f>
        <v>437086</v>
      </c>
      <c r="BG148">
        <f ca="1">IFERROR(IF(0=LEN(ReferenceData!$BG$148),"",ReferenceData!$BG$148),"")</f>
        <v>439786</v>
      </c>
      <c r="BH148">
        <f ca="1">IFERROR(IF(0=LEN(ReferenceData!$BH$148),"",ReferenceData!$BH$148),"")</f>
        <v>440012</v>
      </c>
      <c r="BI148">
        <f ca="1">IFERROR(IF(0=LEN(ReferenceData!$BI$148),"",ReferenceData!$BI$148),"")</f>
        <v>444099</v>
      </c>
      <c r="BJ148">
        <f ca="1">IFERROR(IF(0=LEN(ReferenceData!$BJ$148),"",ReferenceData!$BJ$148),"")</f>
        <v>445737</v>
      </c>
      <c r="BK148">
        <f ca="1">IFERROR(IF(0=LEN(ReferenceData!$BK$148),"",ReferenceData!$BK$148),"")</f>
        <v>476192</v>
      </c>
      <c r="BL148">
        <f ca="1">IFERROR(IF(0=LEN(ReferenceData!$BL$148),"",ReferenceData!$BL$148),"")</f>
        <v>478330</v>
      </c>
      <c r="BM148" t="str">
        <f ca="1">IFERROR(IF(0=LEN(ReferenceData!$BM$148),"",ReferenceData!$BM$148),"")</f>
        <v/>
      </c>
    </row>
    <row r="149" spans="1:65">
      <c r="A149" t="str">
        <f>IFERROR(IF(0=LEN(ReferenceData!$A$149),"",ReferenceData!$A$149),"")</f>
        <v xml:space="preserve">    Bank OZK</v>
      </c>
      <c r="B149" t="str">
        <f>IFERROR(IF(0=LEN(ReferenceData!$B$149),"",ReferenceData!$B$149),"")</f>
        <v>OZK US Equity</v>
      </c>
      <c r="C149" t="str">
        <f>IFERROR(IF(0=LEN(ReferenceData!$C$149),"",ReferenceData!$C$149),"")</f>
        <v>BS963</v>
      </c>
      <c r="D149" t="str">
        <f>IFERROR(IF(0=LEN(ReferenceData!$D$149),"",ReferenceData!$D$149),"")</f>
        <v>BS_COMML_MTG_SERVICED_OTHERS</v>
      </c>
      <c r="E149" t="str">
        <f>IFERROR(IF(0=LEN(ReferenceData!$E$149),"",ReferenceData!$E$149),"")</f>
        <v>Dynamic</v>
      </c>
      <c r="F149" t="str">
        <f ca="1">IFERROR(IF(0=LEN(ReferenceData!$F$149),"",ReferenceData!$F$149),"")</f>
        <v/>
      </c>
      <c r="G149" t="str">
        <f ca="1">IFERROR(IF(0=LEN(ReferenceData!$G$149),"",ReferenceData!$G$149),"")</f>
        <v/>
      </c>
      <c r="H149" t="str">
        <f ca="1">IFERROR(IF(0=LEN(ReferenceData!$H$149),"",ReferenceData!$H$149),"")</f>
        <v/>
      </c>
      <c r="I149" t="str">
        <f ca="1">IFERROR(IF(0=LEN(ReferenceData!$I$149),"",ReferenceData!$I$149),"")</f>
        <v/>
      </c>
      <c r="J149" t="str">
        <f ca="1">IFERROR(IF(0=LEN(ReferenceData!$J$149),"",ReferenceData!$J$149),"")</f>
        <v/>
      </c>
      <c r="K149" t="str">
        <f ca="1">IFERROR(IF(0=LEN(ReferenceData!$K$149),"",ReferenceData!$K$149),"")</f>
        <v/>
      </c>
      <c r="L149" t="str">
        <f ca="1">IFERROR(IF(0=LEN(ReferenceData!$L$149),"",ReferenceData!$L$149),"")</f>
        <v/>
      </c>
      <c r="M149" t="str">
        <f ca="1">IFERROR(IF(0=LEN(ReferenceData!$M$149),"",ReferenceData!$M$149),"")</f>
        <v/>
      </c>
      <c r="N149" t="str">
        <f ca="1">IFERROR(IF(0=LEN(ReferenceData!$N$149),"",ReferenceData!$N$149),"")</f>
        <v/>
      </c>
      <c r="O149" t="str">
        <f ca="1">IFERROR(IF(0=LEN(ReferenceData!$O$149),"",ReferenceData!$O$149),"")</f>
        <v/>
      </c>
      <c r="P149" t="str">
        <f ca="1">IFERROR(IF(0=LEN(ReferenceData!$P$149),"",ReferenceData!$P$149),"")</f>
        <v/>
      </c>
      <c r="Q149" t="str">
        <f ca="1">IFERROR(IF(0=LEN(ReferenceData!$Q$149),"",ReferenceData!$Q$149),"")</f>
        <v/>
      </c>
      <c r="R149" t="str">
        <f ca="1">IFERROR(IF(0=LEN(ReferenceData!$R$149),"",ReferenceData!$R$149),"")</f>
        <v/>
      </c>
      <c r="S149" t="str">
        <f ca="1">IFERROR(IF(0=LEN(ReferenceData!$S$149),"",ReferenceData!$S$149),"")</f>
        <v/>
      </c>
      <c r="T149" t="str">
        <f ca="1">IFERROR(IF(0=LEN(ReferenceData!$T$149),"",ReferenceData!$T$149),"")</f>
        <v/>
      </c>
      <c r="U149" t="str">
        <f ca="1">IFERROR(IF(0=LEN(ReferenceData!$U$149),"",ReferenceData!$U$149),"")</f>
        <v/>
      </c>
      <c r="V149" t="str">
        <f ca="1">IFERROR(IF(0=LEN(ReferenceData!$V$149),"",ReferenceData!$V$149),"")</f>
        <v/>
      </c>
      <c r="W149" t="str">
        <f ca="1">IFERROR(IF(0=LEN(ReferenceData!$W$149),"",ReferenceData!$W$149),"")</f>
        <v/>
      </c>
      <c r="X149" t="str">
        <f ca="1">IFERROR(IF(0=LEN(ReferenceData!$X$149),"",ReferenceData!$X$149),"")</f>
        <v/>
      </c>
      <c r="Y149" t="str">
        <f ca="1">IFERROR(IF(0=LEN(ReferenceData!$Y$149),"",ReferenceData!$Y$149),"")</f>
        <v/>
      </c>
      <c r="Z149" t="str">
        <f ca="1">IFERROR(IF(0=LEN(ReferenceData!$Z$149),"",ReferenceData!$Z$149),"")</f>
        <v/>
      </c>
      <c r="AA149" t="str">
        <f ca="1">IFERROR(IF(0=LEN(ReferenceData!$AA$149),"",ReferenceData!$AA$149),"")</f>
        <v/>
      </c>
      <c r="AB149" t="str">
        <f ca="1">IFERROR(IF(0=LEN(ReferenceData!$AB$149),"",ReferenceData!$AB$149),"")</f>
        <v/>
      </c>
      <c r="AC149" t="str">
        <f ca="1">IFERROR(IF(0=LEN(ReferenceData!$AC$149),"",ReferenceData!$AC$149),"")</f>
        <v/>
      </c>
      <c r="AD149" t="str">
        <f ca="1">IFERROR(IF(0=LEN(ReferenceData!$AD$149),"",ReferenceData!$AD$149),"")</f>
        <v/>
      </c>
      <c r="AE149" t="str">
        <f ca="1">IFERROR(IF(0=LEN(ReferenceData!$AE$149),"",ReferenceData!$AE$149),"")</f>
        <v/>
      </c>
      <c r="AF149" t="str">
        <f ca="1">IFERROR(IF(0=LEN(ReferenceData!$AF$149),"",ReferenceData!$AF$149),"")</f>
        <v/>
      </c>
      <c r="AG149" t="str">
        <f ca="1">IFERROR(IF(0=LEN(ReferenceData!$AG$149),"",ReferenceData!$AG$149),"")</f>
        <v/>
      </c>
      <c r="AH149" t="str">
        <f ca="1">IFERROR(IF(0=LEN(ReferenceData!$AH$149),"",ReferenceData!$AH$149),"")</f>
        <v/>
      </c>
      <c r="AI149" t="str">
        <f ca="1">IFERROR(IF(0=LEN(ReferenceData!$AI$149),"",ReferenceData!$AI$149),"")</f>
        <v/>
      </c>
      <c r="AJ149" t="str">
        <f ca="1">IFERROR(IF(0=LEN(ReferenceData!$AJ$149),"",ReferenceData!$AJ$149),"")</f>
        <v/>
      </c>
      <c r="AK149" t="str">
        <f ca="1">IFERROR(IF(0=LEN(ReferenceData!$AK$149),"",ReferenceData!$AK$149),"")</f>
        <v/>
      </c>
      <c r="AL149" t="str">
        <f ca="1">IFERROR(IF(0=LEN(ReferenceData!$AL$149),"",ReferenceData!$AL$149),"")</f>
        <v/>
      </c>
      <c r="AM149" t="str">
        <f ca="1">IFERROR(IF(0=LEN(ReferenceData!$AM$149),"",ReferenceData!$AM$149),"")</f>
        <v/>
      </c>
      <c r="AN149" t="str">
        <f ca="1">IFERROR(IF(0=LEN(ReferenceData!$AN$149),"",ReferenceData!$AN$149),"")</f>
        <v/>
      </c>
      <c r="AO149" t="str">
        <f ca="1">IFERROR(IF(0=LEN(ReferenceData!$AO$149),"",ReferenceData!$AO$149),"")</f>
        <v/>
      </c>
      <c r="AP149" t="str">
        <f ca="1">IFERROR(IF(0=LEN(ReferenceData!$AP$149),"",ReferenceData!$AP$149),"")</f>
        <v/>
      </c>
      <c r="AQ149" t="str">
        <f ca="1">IFERROR(IF(0=LEN(ReferenceData!$AQ$149),"",ReferenceData!$AQ$149),"")</f>
        <v/>
      </c>
      <c r="AR149" t="str">
        <f ca="1">IFERROR(IF(0=LEN(ReferenceData!$AR$149),"",ReferenceData!$AR$149),"")</f>
        <v/>
      </c>
      <c r="AS149" t="str">
        <f ca="1">IFERROR(IF(0=LEN(ReferenceData!$AS$149),"",ReferenceData!$AS$149),"")</f>
        <v/>
      </c>
      <c r="AT149" t="str">
        <f ca="1">IFERROR(IF(0=LEN(ReferenceData!$AT$149),"",ReferenceData!$AT$149),"")</f>
        <v/>
      </c>
      <c r="AU149" t="str">
        <f ca="1">IFERROR(IF(0=LEN(ReferenceData!$AU$149),"",ReferenceData!$AU$149),"")</f>
        <v/>
      </c>
      <c r="AV149" t="str">
        <f ca="1">IFERROR(IF(0=LEN(ReferenceData!$AV$149),"",ReferenceData!$AV$149),"")</f>
        <v/>
      </c>
      <c r="AW149" t="str">
        <f ca="1">IFERROR(IF(0=LEN(ReferenceData!$AW$149),"",ReferenceData!$AW$149),"")</f>
        <v/>
      </c>
      <c r="AX149" t="str">
        <f ca="1">IFERROR(IF(0=LEN(ReferenceData!$AX$149),"",ReferenceData!$AX$149),"")</f>
        <v/>
      </c>
      <c r="AY149" t="str">
        <f ca="1">IFERROR(IF(0=LEN(ReferenceData!$AY$149),"",ReferenceData!$AY$149),"")</f>
        <v/>
      </c>
      <c r="AZ149" t="str">
        <f ca="1">IFERROR(IF(0=LEN(ReferenceData!$AZ$149),"",ReferenceData!$AZ$149),"")</f>
        <v/>
      </c>
      <c r="BA149" t="str">
        <f ca="1">IFERROR(IF(0=LEN(ReferenceData!$BA$149),"",ReferenceData!$BA$149),"")</f>
        <v/>
      </c>
      <c r="BB149" t="str">
        <f ca="1">IFERROR(IF(0=LEN(ReferenceData!$BB$149),"",ReferenceData!$BB$149),"")</f>
        <v/>
      </c>
      <c r="BC149" t="str">
        <f ca="1">IFERROR(IF(0=LEN(ReferenceData!$BC$149),"",ReferenceData!$BC$149),"")</f>
        <v/>
      </c>
      <c r="BD149" t="str">
        <f ca="1">IFERROR(IF(0=LEN(ReferenceData!$BD$149),"",ReferenceData!$BD$149),"")</f>
        <v/>
      </c>
      <c r="BE149" t="str">
        <f ca="1">IFERROR(IF(0=LEN(ReferenceData!$BE$149),"",ReferenceData!$BE$149),"")</f>
        <v/>
      </c>
      <c r="BF149" t="str">
        <f ca="1">IFERROR(IF(0=LEN(ReferenceData!$BF$149),"",ReferenceData!$BF$149),"")</f>
        <v/>
      </c>
      <c r="BG149" t="str">
        <f ca="1">IFERROR(IF(0=LEN(ReferenceData!$BG$149),"",ReferenceData!$BG$149),"")</f>
        <v/>
      </c>
      <c r="BH149" t="str">
        <f ca="1">IFERROR(IF(0=LEN(ReferenceData!$BH$149),"",ReferenceData!$BH$149),"")</f>
        <v/>
      </c>
      <c r="BI149" t="str">
        <f ca="1">IFERROR(IF(0=LEN(ReferenceData!$BI$149),"",ReferenceData!$BI$149),"")</f>
        <v/>
      </c>
      <c r="BJ149" t="str">
        <f ca="1">IFERROR(IF(0=LEN(ReferenceData!$BJ$149),"",ReferenceData!$BJ$149),"")</f>
        <v/>
      </c>
      <c r="BK149" t="str">
        <f ca="1">IFERROR(IF(0=LEN(ReferenceData!$BK$149),"",ReferenceData!$BK$149),"")</f>
        <v/>
      </c>
      <c r="BL149" t="str">
        <f ca="1">IFERROR(IF(0=LEN(ReferenceData!$BL$149),"",ReferenceData!$BL$149),"")</f>
        <v/>
      </c>
      <c r="BM149" t="str">
        <f ca="1">IFERROR(IF(0=LEN(ReferenceData!$BM$149),"",ReferenceData!$BM$149),"")</f>
        <v/>
      </c>
    </row>
    <row r="150" spans="1:65">
      <c r="A150" t="str">
        <f>IFERROR(IF(0=LEN(ReferenceData!$A$150),"",ReferenceData!$A$150),"")</f>
        <v xml:space="preserve">    Citizens Financial Group Inc</v>
      </c>
      <c r="B150" t="str">
        <f>IFERROR(IF(0=LEN(ReferenceData!$B$150),"",ReferenceData!$B$150),"")</f>
        <v>CFG US Equity</v>
      </c>
      <c r="C150" t="str">
        <f>IFERROR(IF(0=LEN(ReferenceData!$C$150),"",ReferenceData!$C$150),"")</f>
        <v>BS963</v>
      </c>
      <c r="D150" t="str">
        <f>IFERROR(IF(0=LEN(ReferenceData!$D$150),"",ReferenceData!$D$150),"")</f>
        <v>BS_COMML_MTG_SERVICED_OTHERS</v>
      </c>
      <c r="E150" t="str">
        <f>IFERROR(IF(0=LEN(ReferenceData!$E$150),"",ReferenceData!$E$150),"")</f>
        <v>Dynamic</v>
      </c>
      <c r="F150" t="str">
        <f ca="1">IFERROR(IF(0=LEN(ReferenceData!$F$150),"",ReferenceData!$F$150),"")</f>
        <v/>
      </c>
      <c r="G150" t="str">
        <f ca="1">IFERROR(IF(0=LEN(ReferenceData!$G$150),"",ReferenceData!$G$150),"")</f>
        <v/>
      </c>
      <c r="H150" t="str">
        <f ca="1">IFERROR(IF(0=LEN(ReferenceData!$H$150),"",ReferenceData!$H$150),"")</f>
        <v/>
      </c>
      <c r="I150" t="str">
        <f ca="1">IFERROR(IF(0=LEN(ReferenceData!$I$150),"",ReferenceData!$I$150),"")</f>
        <v/>
      </c>
      <c r="J150" t="str">
        <f ca="1">IFERROR(IF(0=LEN(ReferenceData!$J$150),"",ReferenceData!$J$150),"")</f>
        <v/>
      </c>
      <c r="K150" t="str">
        <f ca="1">IFERROR(IF(0=LEN(ReferenceData!$K$150),"",ReferenceData!$K$150),"")</f>
        <v/>
      </c>
      <c r="L150" t="str">
        <f ca="1">IFERROR(IF(0=LEN(ReferenceData!$L$150),"",ReferenceData!$L$150),"")</f>
        <v/>
      </c>
      <c r="M150" t="str">
        <f ca="1">IFERROR(IF(0=LEN(ReferenceData!$M$150),"",ReferenceData!$M$150),"")</f>
        <v/>
      </c>
      <c r="N150" t="str">
        <f ca="1">IFERROR(IF(0=LEN(ReferenceData!$N$150),"",ReferenceData!$N$150),"")</f>
        <v/>
      </c>
      <c r="O150" t="str">
        <f ca="1">IFERROR(IF(0=LEN(ReferenceData!$O$150),"",ReferenceData!$O$150),"")</f>
        <v/>
      </c>
      <c r="P150" t="str">
        <f ca="1">IFERROR(IF(0=LEN(ReferenceData!$P$150),"",ReferenceData!$P$150),"")</f>
        <v/>
      </c>
      <c r="Q150" t="str">
        <f ca="1">IFERROR(IF(0=LEN(ReferenceData!$Q$150),"",ReferenceData!$Q$150),"")</f>
        <v/>
      </c>
      <c r="R150" t="str">
        <f ca="1">IFERROR(IF(0=LEN(ReferenceData!$R$150),"",ReferenceData!$R$150),"")</f>
        <v/>
      </c>
      <c r="S150" t="str">
        <f ca="1">IFERROR(IF(0=LEN(ReferenceData!$S$150),"",ReferenceData!$S$150),"")</f>
        <v/>
      </c>
      <c r="T150" t="str">
        <f ca="1">IFERROR(IF(0=LEN(ReferenceData!$T$150),"",ReferenceData!$T$150),"")</f>
        <v/>
      </c>
      <c r="U150" t="str">
        <f ca="1">IFERROR(IF(0=LEN(ReferenceData!$U$150),"",ReferenceData!$U$150),"")</f>
        <v/>
      </c>
      <c r="V150" t="str">
        <f ca="1">IFERROR(IF(0=LEN(ReferenceData!$V$150),"",ReferenceData!$V$150),"")</f>
        <v/>
      </c>
      <c r="W150" t="str">
        <f ca="1">IFERROR(IF(0=LEN(ReferenceData!$W$150),"",ReferenceData!$W$150),"")</f>
        <v/>
      </c>
      <c r="X150" t="str">
        <f ca="1">IFERROR(IF(0=LEN(ReferenceData!$X$150),"",ReferenceData!$X$150),"")</f>
        <v/>
      </c>
      <c r="Y150" t="str">
        <f ca="1">IFERROR(IF(0=LEN(ReferenceData!$Y$150),"",ReferenceData!$Y$150),"")</f>
        <v/>
      </c>
      <c r="Z150" t="str">
        <f ca="1">IFERROR(IF(0=LEN(ReferenceData!$Z$150),"",ReferenceData!$Z$150),"")</f>
        <v/>
      </c>
      <c r="AA150" t="str">
        <f ca="1">IFERROR(IF(0=LEN(ReferenceData!$AA$150),"",ReferenceData!$AA$150),"")</f>
        <v/>
      </c>
      <c r="AB150" t="str">
        <f ca="1">IFERROR(IF(0=LEN(ReferenceData!$AB$150),"",ReferenceData!$AB$150),"")</f>
        <v/>
      </c>
      <c r="AC150" t="str">
        <f ca="1">IFERROR(IF(0=LEN(ReferenceData!$AC$150),"",ReferenceData!$AC$150),"")</f>
        <v/>
      </c>
      <c r="AD150" t="str">
        <f ca="1">IFERROR(IF(0=LEN(ReferenceData!$AD$150),"",ReferenceData!$AD$150),"")</f>
        <v/>
      </c>
      <c r="AE150" t="str">
        <f ca="1">IFERROR(IF(0=LEN(ReferenceData!$AE$150),"",ReferenceData!$AE$150),"")</f>
        <v/>
      </c>
      <c r="AF150" t="str">
        <f ca="1">IFERROR(IF(0=LEN(ReferenceData!$AF$150),"",ReferenceData!$AF$150),"")</f>
        <v/>
      </c>
      <c r="AG150" t="str">
        <f ca="1">IFERROR(IF(0=LEN(ReferenceData!$AG$150),"",ReferenceData!$AG$150),"")</f>
        <v/>
      </c>
      <c r="AH150" t="str">
        <f ca="1">IFERROR(IF(0=LEN(ReferenceData!$AH$150),"",ReferenceData!$AH$150),"")</f>
        <v/>
      </c>
      <c r="AI150" t="str">
        <f ca="1">IFERROR(IF(0=LEN(ReferenceData!$AI$150),"",ReferenceData!$AI$150),"")</f>
        <v/>
      </c>
      <c r="AJ150" t="str">
        <f ca="1">IFERROR(IF(0=LEN(ReferenceData!$AJ$150),"",ReferenceData!$AJ$150),"")</f>
        <v/>
      </c>
      <c r="AK150" t="str">
        <f ca="1">IFERROR(IF(0=LEN(ReferenceData!$AK$150),"",ReferenceData!$AK$150),"")</f>
        <v/>
      </c>
      <c r="AL150" t="str">
        <f ca="1">IFERROR(IF(0=LEN(ReferenceData!$AL$150),"",ReferenceData!$AL$150),"")</f>
        <v/>
      </c>
      <c r="AM150" t="str">
        <f ca="1">IFERROR(IF(0=LEN(ReferenceData!$AM$150),"",ReferenceData!$AM$150),"")</f>
        <v/>
      </c>
      <c r="AN150" t="str">
        <f ca="1">IFERROR(IF(0=LEN(ReferenceData!$AN$150),"",ReferenceData!$AN$150),"")</f>
        <v/>
      </c>
      <c r="AO150" t="str">
        <f ca="1">IFERROR(IF(0=LEN(ReferenceData!$AO$150),"",ReferenceData!$AO$150),"")</f>
        <v/>
      </c>
      <c r="AP150" t="str">
        <f ca="1">IFERROR(IF(0=LEN(ReferenceData!$AP$150),"",ReferenceData!$AP$150),"")</f>
        <v/>
      </c>
      <c r="AQ150" t="str">
        <f ca="1">IFERROR(IF(0=LEN(ReferenceData!$AQ$150),"",ReferenceData!$AQ$150),"")</f>
        <v/>
      </c>
      <c r="AR150" t="str">
        <f ca="1">IFERROR(IF(0=LEN(ReferenceData!$AR$150),"",ReferenceData!$AR$150),"")</f>
        <v/>
      </c>
      <c r="AS150" t="str">
        <f ca="1">IFERROR(IF(0=LEN(ReferenceData!$AS$150),"",ReferenceData!$AS$150),"")</f>
        <v/>
      </c>
      <c r="AT150" t="str">
        <f ca="1">IFERROR(IF(0=LEN(ReferenceData!$AT$150),"",ReferenceData!$AT$150),"")</f>
        <v/>
      </c>
      <c r="AU150" t="str">
        <f ca="1">IFERROR(IF(0=LEN(ReferenceData!$AU$150),"",ReferenceData!$AU$150),"")</f>
        <v/>
      </c>
      <c r="AV150" t="str">
        <f ca="1">IFERROR(IF(0=LEN(ReferenceData!$AV$150),"",ReferenceData!$AV$150),"")</f>
        <v/>
      </c>
      <c r="AW150" t="str">
        <f ca="1">IFERROR(IF(0=LEN(ReferenceData!$AW$150),"",ReferenceData!$AW$150),"")</f>
        <v/>
      </c>
      <c r="AX150" t="str">
        <f ca="1">IFERROR(IF(0=LEN(ReferenceData!$AX$150),"",ReferenceData!$AX$150),"")</f>
        <v/>
      </c>
      <c r="AY150" t="str">
        <f ca="1">IFERROR(IF(0=LEN(ReferenceData!$AY$150),"",ReferenceData!$AY$150),"")</f>
        <v/>
      </c>
      <c r="AZ150" t="str">
        <f ca="1">IFERROR(IF(0=LEN(ReferenceData!$AZ$150),"",ReferenceData!$AZ$150),"")</f>
        <v/>
      </c>
      <c r="BA150" t="str">
        <f ca="1">IFERROR(IF(0=LEN(ReferenceData!$BA$150),"",ReferenceData!$BA$150),"")</f>
        <v/>
      </c>
      <c r="BB150" t="str">
        <f ca="1">IFERROR(IF(0=LEN(ReferenceData!$BB$150),"",ReferenceData!$BB$150),"")</f>
        <v/>
      </c>
      <c r="BC150" t="str">
        <f ca="1">IFERROR(IF(0=LEN(ReferenceData!$BC$150),"",ReferenceData!$BC$150),"")</f>
        <v/>
      </c>
      <c r="BD150" t="str">
        <f ca="1">IFERROR(IF(0=LEN(ReferenceData!$BD$150),"",ReferenceData!$BD$150),"")</f>
        <v/>
      </c>
      <c r="BE150" t="str">
        <f ca="1">IFERROR(IF(0=LEN(ReferenceData!$BE$150),"",ReferenceData!$BE$150),"")</f>
        <v/>
      </c>
      <c r="BF150" t="str">
        <f ca="1">IFERROR(IF(0=LEN(ReferenceData!$BF$150),"",ReferenceData!$BF$150),"")</f>
        <v/>
      </c>
      <c r="BG150" t="str">
        <f ca="1">IFERROR(IF(0=LEN(ReferenceData!$BG$150),"",ReferenceData!$BG$150),"")</f>
        <v/>
      </c>
      <c r="BH150" t="str">
        <f ca="1">IFERROR(IF(0=LEN(ReferenceData!$BH$150),"",ReferenceData!$BH$150),"")</f>
        <v/>
      </c>
      <c r="BI150" t="str">
        <f ca="1">IFERROR(IF(0=LEN(ReferenceData!$BI$150),"",ReferenceData!$BI$150),"")</f>
        <v/>
      </c>
      <c r="BJ150" t="str">
        <f ca="1">IFERROR(IF(0=LEN(ReferenceData!$BJ$150),"",ReferenceData!$BJ$150),"")</f>
        <v/>
      </c>
      <c r="BK150" t="str">
        <f ca="1">IFERROR(IF(0=LEN(ReferenceData!$BK$150),"",ReferenceData!$BK$150),"")</f>
        <v/>
      </c>
      <c r="BL150" t="str">
        <f ca="1">IFERROR(IF(0=LEN(ReferenceData!$BL$150),"",ReferenceData!$BL$150),"")</f>
        <v/>
      </c>
      <c r="BM150" t="str">
        <f ca="1">IFERROR(IF(0=LEN(ReferenceData!$BM$150),"",ReferenceData!$BM$150),"")</f>
        <v/>
      </c>
    </row>
    <row r="151" spans="1:65">
      <c r="A151" t="str">
        <f>IFERROR(IF(0=LEN(ReferenceData!$A$151),"",ReferenceData!$A$151),"")</f>
        <v xml:space="preserve">    Comerica Inc</v>
      </c>
      <c r="B151" t="str">
        <f>IFERROR(IF(0=LEN(ReferenceData!$B$151),"",ReferenceData!$B$151),"")</f>
        <v>CMA US Equity</v>
      </c>
      <c r="C151" t="str">
        <f>IFERROR(IF(0=LEN(ReferenceData!$C$151),"",ReferenceData!$C$151),"")</f>
        <v>BS963</v>
      </c>
      <c r="D151" t="str">
        <f>IFERROR(IF(0=LEN(ReferenceData!$D$151),"",ReferenceData!$D$151),"")</f>
        <v>BS_COMML_MTG_SERVICED_OTHERS</v>
      </c>
      <c r="E151" t="str">
        <f>IFERROR(IF(0=LEN(ReferenceData!$E$151),"",ReferenceData!$E$151),"")</f>
        <v>Dynamic</v>
      </c>
      <c r="F151" t="str">
        <f ca="1">IFERROR(IF(0=LEN(ReferenceData!$F$151),"",ReferenceData!$F$151),"")</f>
        <v/>
      </c>
      <c r="G151" t="str">
        <f ca="1">IFERROR(IF(0=LEN(ReferenceData!$G$151),"",ReferenceData!$G$151),"")</f>
        <v/>
      </c>
      <c r="H151" t="str">
        <f ca="1">IFERROR(IF(0=LEN(ReferenceData!$H$151),"",ReferenceData!$H$151),"")</f>
        <v/>
      </c>
      <c r="I151" t="str">
        <f ca="1">IFERROR(IF(0=LEN(ReferenceData!$I$151),"",ReferenceData!$I$151),"")</f>
        <v/>
      </c>
      <c r="J151" t="str">
        <f ca="1">IFERROR(IF(0=LEN(ReferenceData!$J$151),"",ReferenceData!$J$151),"")</f>
        <v/>
      </c>
      <c r="K151" t="str">
        <f ca="1">IFERROR(IF(0=LEN(ReferenceData!$K$151),"",ReferenceData!$K$151),"")</f>
        <v/>
      </c>
      <c r="L151" t="str">
        <f ca="1">IFERROR(IF(0=LEN(ReferenceData!$L$151),"",ReferenceData!$L$151),"")</f>
        <v/>
      </c>
      <c r="M151" t="str">
        <f ca="1">IFERROR(IF(0=LEN(ReferenceData!$M$151),"",ReferenceData!$M$151),"")</f>
        <v/>
      </c>
      <c r="N151" t="str">
        <f ca="1">IFERROR(IF(0=LEN(ReferenceData!$N$151),"",ReferenceData!$N$151),"")</f>
        <v/>
      </c>
      <c r="O151" t="str">
        <f ca="1">IFERROR(IF(0=LEN(ReferenceData!$O$151),"",ReferenceData!$O$151),"")</f>
        <v/>
      </c>
      <c r="P151" t="str">
        <f ca="1">IFERROR(IF(0=LEN(ReferenceData!$P$151),"",ReferenceData!$P$151),"")</f>
        <v/>
      </c>
      <c r="Q151" t="str">
        <f ca="1">IFERROR(IF(0=LEN(ReferenceData!$Q$151),"",ReferenceData!$Q$151),"")</f>
        <v/>
      </c>
      <c r="R151" t="str">
        <f ca="1">IFERROR(IF(0=LEN(ReferenceData!$R$151),"",ReferenceData!$R$151),"")</f>
        <v/>
      </c>
      <c r="S151" t="str">
        <f ca="1">IFERROR(IF(0=LEN(ReferenceData!$S$151),"",ReferenceData!$S$151),"")</f>
        <v/>
      </c>
      <c r="T151" t="str">
        <f ca="1">IFERROR(IF(0=LEN(ReferenceData!$T$151),"",ReferenceData!$T$151),"")</f>
        <v/>
      </c>
      <c r="U151" t="str">
        <f ca="1">IFERROR(IF(0=LEN(ReferenceData!$U$151),"",ReferenceData!$U$151),"")</f>
        <v/>
      </c>
      <c r="V151" t="str">
        <f ca="1">IFERROR(IF(0=LEN(ReferenceData!$V$151),"",ReferenceData!$V$151),"")</f>
        <v/>
      </c>
      <c r="W151" t="str">
        <f ca="1">IFERROR(IF(0=LEN(ReferenceData!$W$151),"",ReferenceData!$W$151),"")</f>
        <v/>
      </c>
      <c r="X151" t="str">
        <f ca="1">IFERROR(IF(0=LEN(ReferenceData!$X$151),"",ReferenceData!$X$151),"")</f>
        <v/>
      </c>
      <c r="Y151" t="str">
        <f ca="1">IFERROR(IF(0=LEN(ReferenceData!$Y$151),"",ReferenceData!$Y$151),"")</f>
        <v/>
      </c>
      <c r="Z151" t="str">
        <f ca="1">IFERROR(IF(0=LEN(ReferenceData!$Z$151),"",ReferenceData!$Z$151),"")</f>
        <v/>
      </c>
      <c r="AA151" t="str">
        <f ca="1">IFERROR(IF(0=LEN(ReferenceData!$AA$151),"",ReferenceData!$AA$151),"")</f>
        <v/>
      </c>
      <c r="AB151" t="str">
        <f ca="1">IFERROR(IF(0=LEN(ReferenceData!$AB$151),"",ReferenceData!$AB$151),"")</f>
        <v/>
      </c>
      <c r="AC151" t="str">
        <f ca="1">IFERROR(IF(0=LEN(ReferenceData!$AC$151),"",ReferenceData!$AC$151),"")</f>
        <v/>
      </c>
      <c r="AD151" t="str">
        <f ca="1">IFERROR(IF(0=LEN(ReferenceData!$AD$151),"",ReferenceData!$AD$151),"")</f>
        <v/>
      </c>
      <c r="AE151" t="str">
        <f ca="1">IFERROR(IF(0=LEN(ReferenceData!$AE$151),"",ReferenceData!$AE$151),"")</f>
        <v/>
      </c>
      <c r="AF151" t="str">
        <f ca="1">IFERROR(IF(0=LEN(ReferenceData!$AF$151),"",ReferenceData!$AF$151),"")</f>
        <v/>
      </c>
      <c r="AG151" t="str">
        <f ca="1">IFERROR(IF(0=LEN(ReferenceData!$AG$151),"",ReferenceData!$AG$151),"")</f>
        <v/>
      </c>
      <c r="AH151" t="str">
        <f ca="1">IFERROR(IF(0=LEN(ReferenceData!$AH$151),"",ReferenceData!$AH$151),"")</f>
        <v/>
      </c>
      <c r="AI151" t="str">
        <f ca="1">IFERROR(IF(0=LEN(ReferenceData!$AI$151),"",ReferenceData!$AI$151),"")</f>
        <v/>
      </c>
      <c r="AJ151" t="str">
        <f ca="1">IFERROR(IF(0=LEN(ReferenceData!$AJ$151),"",ReferenceData!$AJ$151),"")</f>
        <v/>
      </c>
      <c r="AK151" t="str">
        <f ca="1">IFERROR(IF(0=LEN(ReferenceData!$AK$151),"",ReferenceData!$AK$151),"")</f>
        <v/>
      </c>
      <c r="AL151" t="str">
        <f ca="1">IFERROR(IF(0=LEN(ReferenceData!$AL$151),"",ReferenceData!$AL$151),"")</f>
        <v/>
      </c>
      <c r="AM151" t="str">
        <f ca="1">IFERROR(IF(0=LEN(ReferenceData!$AM$151),"",ReferenceData!$AM$151),"")</f>
        <v/>
      </c>
      <c r="AN151" t="str">
        <f ca="1">IFERROR(IF(0=LEN(ReferenceData!$AN$151),"",ReferenceData!$AN$151),"")</f>
        <v/>
      </c>
      <c r="AO151" t="str">
        <f ca="1">IFERROR(IF(0=LEN(ReferenceData!$AO$151),"",ReferenceData!$AO$151),"")</f>
        <v/>
      </c>
      <c r="AP151" t="str">
        <f ca="1">IFERROR(IF(0=LEN(ReferenceData!$AP$151),"",ReferenceData!$AP$151),"")</f>
        <v/>
      </c>
      <c r="AQ151" t="str">
        <f ca="1">IFERROR(IF(0=LEN(ReferenceData!$AQ$151),"",ReferenceData!$AQ$151),"")</f>
        <v/>
      </c>
      <c r="AR151" t="str">
        <f ca="1">IFERROR(IF(0=LEN(ReferenceData!$AR$151),"",ReferenceData!$AR$151),"")</f>
        <v/>
      </c>
      <c r="AS151" t="str">
        <f ca="1">IFERROR(IF(0=LEN(ReferenceData!$AS$151),"",ReferenceData!$AS$151),"")</f>
        <v/>
      </c>
      <c r="AT151" t="str">
        <f ca="1">IFERROR(IF(0=LEN(ReferenceData!$AT$151),"",ReferenceData!$AT$151),"")</f>
        <v/>
      </c>
      <c r="AU151" t="str">
        <f ca="1">IFERROR(IF(0=LEN(ReferenceData!$AU$151),"",ReferenceData!$AU$151),"")</f>
        <v/>
      </c>
      <c r="AV151" t="str">
        <f ca="1">IFERROR(IF(0=LEN(ReferenceData!$AV$151),"",ReferenceData!$AV$151),"")</f>
        <v/>
      </c>
      <c r="AW151" t="str">
        <f ca="1">IFERROR(IF(0=LEN(ReferenceData!$AW$151),"",ReferenceData!$AW$151),"")</f>
        <v/>
      </c>
      <c r="AX151" t="str">
        <f ca="1">IFERROR(IF(0=LEN(ReferenceData!$AX$151),"",ReferenceData!$AX$151),"")</f>
        <v/>
      </c>
      <c r="AY151" t="str">
        <f ca="1">IFERROR(IF(0=LEN(ReferenceData!$AY$151),"",ReferenceData!$AY$151),"")</f>
        <v/>
      </c>
      <c r="AZ151" t="str">
        <f ca="1">IFERROR(IF(0=LEN(ReferenceData!$AZ$151),"",ReferenceData!$AZ$151),"")</f>
        <v/>
      </c>
      <c r="BA151" t="str">
        <f ca="1">IFERROR(IF(0=LEN(ReferenceData!$BA$151),"",ReferenceData!$BA$151),"")</f>
        <v/>
      </c>
      <c r="BB151" t="str">
        <f ca="1">IFERROR(IF(0=LEN(ReferenceData!$BB$151),"",ReferenceData!$BB$151),"")</f>
        <v/>
      </c>
      <c r="BC151" t="str">
        <f ca="1">IFERROR(IF(0=LEN(ReferenceData!$BC$151),"",ReferenceData!$BC$151),"")</f>
        <v/>
      </c>
      <c r="BD151" t="str">
        <f ca="1">IFERROR(IF(0=LEN(ReferenceData!$BD$151),"",ReferenceData!$BD$151),"")</f>
        <v/>
      </c>
      <c r="BE151" t="str">
        <f ca="1">IFERROR(IF(0=LEN(ReferenceData!$BE$151),"",ReferenceData!$BE$151),"")</f>
        <v/>
      </c>
      <c r="BF151" t="str">
        <f ca="1">IFERROR(IF(0=LEN(ReferenceData!$BF$151),"",ReferenceData!$BF$151),"")</f>
        <v/>
      </c>
      <c r="BG151" t="str">
        <f ca="1">IFERROR(IF(0=LEN(ReferenceData!$BG$151),"",ReferenceData!$BG$151),"")</f>
        <v/>
      </c>
      <c r="BH151" t="str">
        <f ca="1">IFERROR(IF(0=LEN(ReferenceData!$BH$151),"",ReferenceData!$BH$151),"")</f>
        <v/>
      </c>
      <c r="BI151" t="str">
        <f ca="1">IFERROR(IF(0=LEN(ReferenceData!$BI$151),"",ReferenceData!$BI$151),"")</f>
        <v/>
      </c>
      <c r="BJ151" t="str">
        <f ca="1">IFERROR(IF(0=LEN(ReferenceData!$BJ$151),"",ReferenceData!$BJ$151),"")</f>
        <v/>
      </c>
      <c r="BK151" t="str">
        <f ca="1">IFERROR(IF(0=LEN(ReferenceData!$BK$151),"",ReferenceData!$BK$151),"")</f>
        <v/>
      </c>
      <c r="BL151" t="str">
        <f ca="1">IFERROR(IF(0=LEN(ReferenceData!$BL$151),"",ReferenceData!$BL$151),"")</f>
        <v/>
      </c>
      <c r="BM151" t="str">
        <f ca="1">IFERROR(IF(0=LEN(ReferenceData!$BM$151),"",ReferenceData!$BM$151),"")</f>
        <v/>
      </c>
    </row>
    <row r="152" spans="1:65">
      <c r="A152" t="str">
        <f>IFERROR(IF(0=LEN(ReferenceData!$A$152),"",ReferenceData!$A$152),"")</f>
        <v xml:space="preserve">    East West Bancorp Inc</v>
      </c>
      <c r="B152" t="str">
        <f>IFERROR(IF(0=LEN(ReferenceData!$B$152),"",ReferenceData!$B$152),"")</f>
        <v>EWBC US Equity</v>
      </c>
      <c r="C152" t="str">
        <f>IFERROR(IF(0=LEN(ReferenceData!$C$152),"",ReferenceData!$C$152),"")</f>
        <v>BS963</v>
      </c>
      <c r="D152" t="str">
        <f>IFERROR(IF(0=LEN(ReferenceData!$D$152),"",ReferenceData!$D$152),"")</f>
        <v>BS_COMML_MTG_SERVICED_OTHERS</v>
      </c>
      <c r="E152" t="str">
        <f>IFERROR(IF(0=LEN(ReferenceData!$E$152),"",ReferenceData!$E$152),"")</f>
        <v>Dynamic</v>
      </c>
      <c r="F152" t="str">
        <f ca="1">IFERROR(IF(0=LEN(ReferenceData!$F$152),"",ReferenceData!$F$152),"")</f>
        <v/>
      </c>
      <c r="G152" t="str">
        <f ca="1">IFERROR(IF(0=LEN(ReferenceData!$G$152),"",ReferenceData!$G$152),"")</f>
        <v/>
      </c>
      <c r="H152" t="str">
        <f ca="1">IFERROR(IF(0=LEN(ReferenceData!$H$152),"",ReferenceData!$H$152),"")</f>
        <v/>
      </c>
      <c r="I152" t="str">
        <f ca="1">IFERROR(IF(0=LEN(ReferenceData!$I$152),"",ReferenceData!$I$152),"")</f>
        <v/>
      </c>
      <c r="J152" t="str">
        <f ca="1">IFERROR(IF(0=LEN(ReferenceData!$J$152),"",ReferenceData!$J$152),"")</f>
        <v/>
      </c>
      <c r="K152" t="str">
        <f ca="1">IFERROR(IF(0=LEN(ReferenceData!$K$152),"",ReferenceData!$K$152),"")</f>
        <v/>
      </c>
      <c r="L152" t="str">
        <f ca="1">IFERROR(IF(0=LEN(ReferenceData!$L$152),"",ReferenceData!$L$152),"")</f>
        <v/>
      </c>
      <c r="M152" t="str">
        <f ca="1">IFERROR(IF(0=LEN(ReferenceData!$M$152),"",ReferenceData!$M$152),"")</f>
        <v/>
      </c>
      <c r="N152" t="str">
        <f ca="1">IFERROR(IF(0=LEN(ReferenceData!$N$152),"",ReferenceData!$N$152),"")</f>
        <v/>
      </c>
      <c r="O152" t="str">
        <f ca="1">IFERROR(IF(0=LEN(ReferenceData!$O$152),"",ReferenceData!$O$152),"")</f>
        <v/>
      </c>
      <c r="P152" t="str">
        <f ca="1">IFERROR(IF(0=LEN(ReferenceData!$P$152),"",ReferenceData!$P$152),"")</f>
        <v/>
      </c>
      <c r="Q152" t="str">
        <f ca="1">IFERROR(IF(0=LEN(ReferenceData!$Q$152),"",ReferenceData!$Q$152),"")</f>
        <v/>
      </c>
      <c r="R152" t="str">
        <f ca="1">IFERROR(IF(0=LEN(ReferenceData!$R$152),"",ReferenceData!$R$152),"")</f>
        <v/>
      </c>
      <c r="S152" t="str">
        <f ca="1">IFERROR(IF(0=LEN(ReferenceData!$S$152),"",ReferenceData!$S$152),"")</f>
        <v/>
      </c>
      <c r="T152" t="str">
        <f ca="1">IFERROR(IF(0=LEN(ReferenceData!$T$152),"",ReferenceData!$T$152),"")</f>
        <v/>
      </c>
      <c r="U152" t="str">
        <f ca="1">IFERROR(IF(0=LEN(ReferenceData!$U$152),"",ReferenceData!$U$152),"")</f>
        <v/>
      </c>
      <c r="V152" t="str">
        <f ca="1">IFERROR(IF(0=LEN(ReferenceData!$V$152),"",ReferenceData!$V$152),"")</f>
        <v/>
      </c>
      <c r="W152" t="str">
        <f ca="1">IFERROR(IF(0=LEN(ReferenceData!$W$152),"",ReferenceData!$W$152),"")</f>
        <v/>
      </c>
      <c r="X152" t="str">
        <f ca="1">IFERROR(IF(0=LEN(ReferenceData!$X$152),"",ReferenceData!$X$152),"")</f>
        <v/>
      </c>
      <c r="Y152" t="str">
        <f ca="1">IFERROR(IF(0=LEN(ReferenceData!$Y$152),"",ReferenceData!$Y$152),"")</f>
        <v/>
      </c>
      <c r="Z152" t="str">
        <f ca="1">IFERROR(IF(0=LEN(ReferenceData!$Z$152),"",ReferenceData!$Z$152),"")</f>
        <v/>
      </c>
      <c r="AA152" t="str">
        <f ca="1">IFERROR(IF(0=LEN(ReferenceData!$AA$152),"",ReferenceData!$AA$152),"")</f>
        <v/>
      </c>
      <c r="AB152" t="str">
        <f ca="1">IFERROR(IF(0=LEN(ReferenceData!$AB$152),"",ReferenceData!$AB$152),"")</f>
        <v/>
      </c>
      <c r="AC152" t="str">
        <f ca="1">IFERROR(IF(0=LEN(ReferenceData!$AC$152),"",ReferenceData!$AC$152),"")</f>
        <v/>
      </c>
      <c r="AD152" t="str">
        <f ca="1">IFERROR(IF(0=LEN(ReferenceData!$AD$152),"",ReferenceData!$AD$152),"")</f>
        <v/>
      </c>
      <c r="AE152" t="str">
        <f ca="1">IFERROR(IF(0=LEN(ReferenceData!$AE$152),"",ReferenceData!$AE$152),"")</f>
        <v/>
      </c>
      <c r="AF152" t="str">
        <f ca="1">IFERROR(IF(0=LEN(ReferenceData!$AF$152),"",ReferenceData!$AF$152),"")</f>
        <v/>
      </c>
      <c r="AG152" t="str">
        <f ca="1">IFERROR(IF(0=LEN(ReferenceData!$AG$152),"",ReferenceData!$AG$152),"")</f>
        <v/>
      </c>
      <c r="AH152" t="str">
        <f ca="1">IFERROR(IF(0=LEN(ReferenceData!$AH$152),"",ReferenceData!$AH$152),"")</f>
        <v/>
      </c>
      <c r="AI152" t="str">
        <f ca="1">IFERROR(IF(0=LEN(ReferenceData!$AI$152),"",ReferenceData!$AI$152),"")</f>
        <v/>
      </c>
      <c r="AJ152" t="str">
        <f ca="1">IFERROR(IF(0=LEN(ReferenceData!$AJ$152),"",ReferenceData!$AJ$152),"")</f>
        <v/>
      </c>
      <c r="AK152" t="str">
        <f ca="1">IFERROR(IF(0=LEN(ReferenceData!$AK$152),"",ReferenceData!$AK$152),"")</f>
        <v/>
      </c>
      <c r="AL152" t="str">
        <f ca="1">IFERROR(IF(0=LEN(ReferenceData!$AL$152),"",ReferenceData!$AL$152),"")</f>
        <v/>
      </c>
      <c r="AM152" t="str">
        <f ca="1">IFERROR(IF(0=LEN(ReferenceData!$AM$152),"",ReferenceData!$AM$152),"")</f>
        <v/>
      </c>
      <c r="AN152" t="str">
        <f ca="1">IFERROR(IF(0=LEN(ReferenceData!$AN$152),"",ReferenceData!$AN$152),"")</f>
        <v/>
      </c>
      <c r="AO152" t="str">
        <f ca="1">IFERROR(IF(0=LEN(ReferenceData!$AO$152),"",ReferenceData!$AO$152),"")</f>
        <v/>
      </c>
      <c r="AP152" t="str">
        <f ca="1">IFERROR(IF(0=LEN(ReferenceData!$AP$152),"",ReferenceData!$AP$152),"")</f>
        <v/>
      </c>
      <c r="AQ152" t="str">
        <f ca="1">IFERROR(IF(0=LEN(ReferenceData!$AQ$152),"",ReferenceData!$AQ$152),"")</f>
        <v/>
      </c>
      <c r="AR152" t="str">
        <f ca="1">IFERROR(IF(0=LEN(ReferenceData!$AR$152),"",ReferenceData!$AR$152),"")</f>
        <v/>
      </c>
      <c r="AS152" t="str">
        <f ca="1">IFERROR(IF(0=LEN(ReferenceData!$AS$152),"",ReferenceData!$AS$152),"")</f>
        <v/>
      </c>
      <c r="AT152" t="str">
        <f ca="1">IFERROR(IF(0=LEN(ReferenceData!$AT$152),"",ReferenceData!$AT$152),"")</f>
        <v/>
      </c>
      <c r="AU152" t="str">
        <f ca="1">IFERROR(IF(0=LEN(ReferenceData!$AU$152),"",ReferenceData!$AU$152),"")</f>
        <v/>
      </c>
      <c r="AV152" t="str">
        <f ca="1">IFERROR(IF(0=LEN(ReferenceData!$AV$152),"",ReferenceData!$AV$152),"")</f>
        <v/>
      </c>
      <c r="AW152" t="str">
        <f ca="1">IFERROR(IF(0=LEN(ReferenceData!$AW$152),"",ReferenceData!$AW$152),"")</f>
        <v/>
      </c>
      <c r="AX152" t="str">
        <f ca="1">IFERROR(IF(0=LEN(ReferenceData!$AX$152),"",ReferenceData!$AX$152),"")</f>
        <v/>
      </c>
      <c r="AY152" t="str">
        <f ca="1">IFERROR(IF(0=LEN(ReferenceData!$AY$152),"",ReferenceData!$AY$152),"")</f>
        <v/>
      </c>
      <c r="AZ152" t="str">
        <f ca="1">IFERROR(IF(0=LEN(ReferenceData!$AZ$152),"",ReferenceData!$AZ$152),"")</f>
        <v/>
      </c>
      <c r="BA152" t="str">
        <f ca="1">IFERROR(IF(0=LEN(ReferenceData!$BA$152),"",ReferenceData!$BA$152),"")</f>
        <v/>
      </c>
      <c r="BB152" t="str">
        <f ca="1">IFERROR(IF(0=LEN(ReferenceData!$BB$152),"",ReferenceData!$BB$152),"")</f>
        <v/>
      </c>
      <c r="BC152" t="str">
        <f ca="1">IFERROR(IF(0=LEN(ReferenceData!$BC$152),"",ReferenceData!$BC$152),"")</f>
        <v/>
      </c>
      <c r="BD152" t="str">
        <f ca="1">IFERROR(IF(0=LEN(ReferenceData!$BD$152),"",ReferenceData!$BD$152),"")</f>
        <v/>
      </c>
      <c r="BE152" t="str">
        <f ca="1">IFERROR(IF(0=LEN(ReferenceData!$BE$152),"",ReferenceData!$BE$152),"")</f>
        <v/>
      </c>
      <c r="BF152" t="str">
        <f ca="1">IFERROR(IF(0=LEN(ReferenceData!$BF$152),"",ReferenceData!$BF$152),"")</f>
        <v/>
      </c>
      <c r="BG152" t="str">
        <f ca="1">IFERROR(IF(0=LEN(ReferenceData!$BG$152),"",ReferenceData!$BG$152),"")</f>
        <v/>
      </c>
      <c r="BH152" t="str">
        <f ca="1">IFERROR(IF(0=LEN(ReferenceData!$BH$152),"",ReferenceData!$BH$152),"")</f>
        <v/>
      </c>
      <c r="BI152" t="str">
        <f ca="1">IFERROR(IF(0=LEN(ReferenceData!$BI$152),"",ReferenceData!$BI$152),"")</f>
        <v/>
      </c>
      <c r="BJ152" t="str">
        <f ca="1">IFERROR(IF(0=LEN(ReferenceData!$BJ$152),"",ReferenceData!$BJ$152),"")</f>
        <v/>
      </c>
      <c r="BK152" t="str">
        <f ca="1">IFERROR(IF(0=LEN(ReferenceData!$BK$152),"",ReferenceData!$BK$152),"")</f>
        <v/>
      </c>
      <c r="BL152" t="str">
        <f ca="1">IFERROR(IF(0=LEN(ReferenceData!$BL$152),"",ReferenceData!$BL$152),"")</f>
        <v/>
      </c>
      <c r="BM152" t="str">
        <f ca="1">IFERROR(IF(0=LEN(ReferenceData!$BM$152),"",ReferenceData!$BM$152),"")</f>
        <v/>
      </c>
    </row>
    <row r="153" spans="1:65">
      <c r="A153" t="str">
        <f>IFERROR(IF(0=LEN(ReferenceData!$A$153),"",ReferenceData!$A$153),"")</f>
        <v xml:space="preserve">    First Horizon Corp</v>
      </c>
      <c r="B153" t="str">
        <f>IFERROR(IF(0=LEN(ReferenceData!$B$153),"",ReferenceData!$B$153),"")</f>
        <v>FHN US Equity</v>
      </c>
      <c r="C153" t="str">
        <f>IFERROR(IF(0=LEN(ReferenceData!$C$153),"",ReferenceData!$C$153),"")</f>
        <v>BS963</v>
      </c>
      <c r="D153" t="str">
        <f>IFERROR(IF(0=LEN(ReferenceData!$D$153),"",ReferenceData!$D$153),"")</f>
        <v>BS_COMML_MTG_SERVICED_OTHERS</v>
      </c>
      <c r="E153" t="str">
        <f>IFERROR(IF(0=LEN(ReferenceData!$E$153),"",ReferenceData!$E$153),"")</f>
        <v>Dynamic</v>
      </c>
      <c r="F153" t="str">
        <f ca="1">IFERROR(IF(0=LEN(ReferenceData!$F$153),"",ReferenceData!$F$153),"")</f>
        <v/>
      </c>
      <c r="G153" t="str">
        <f ca="1">IFERROR(IF(0=LEN(ReferenceData!$G$153),"",ReferenceData!$G$153),"")</f>
        <v/>
      </c>
      <c r="H153" t="str">
        <f ca="1">IFERROR(IF(0=LEN(ReferenceData!$H$153),"",ReferenceData!$H$153),"")</f>
        <v/>
      </c>
      <c r="I153" t="str">
        <f ca="1">IFERROR(IF(0=LEN(ReferenceData!$I$153),"",ReferenceData!$I$153),"")</f>
        <v/>
      </c>
      <c r="J153" t="str">
        <f ca="1">IFERROR(IF(0=LEN(ReferenceData!$J$153),"",ReferenceData!$J$153),"")</f>
        <v/>
      </c>
      <c r="K153" t="str">
        <f ca="1">IFERROR(IF(0=LEN(ReferenceData!$K$153),"",ReferenceData!$K$153),"")</f>
        <v/>
      </c>
      <c r="L153" t="str">
        <f ca="1">IFERROR(IF(0=LEN(ReferenceData!$L$153),"",ReferenceData!$L$153),"")</f>
        <v/>
      </c>
      <c r="M153" t="str">
        <f ca="1">IFERROR(IF(0=LEN(ReferenceData!$M$153),"",ReferenceData!$M$153),"")</f>
        <v/>
      </c>
      <c r="N153" t="str">
        <f ca="1">IFERROR(IF(0=LEN(ReferenceData!$N$153),"",ReferenceData!$N$153),"")</f>
        <v/>
      </c>
      <c r="O153" t="str">
        <f ca="1">IFERROR(IF(0=LEN(ReferenceData!$O$153),"",ReferenceData!$O$153),"")</f>
        <v/>
      </c>
      <c r="P153" t="str">
        <f ca="1">IFERROR(IF(0=LEN(ReferenceData!$P$153),"",ReferenceData!$P$153),"")</f>
        <v/>
      </c>
      <c r="Q153" t="str">
        <f ca="1">IFERROR(IF(0=LEN(ReferenceData!$Q$153),"",ReferenceData!$Q$153),"")</f>
        <v/>
      </c>
      <c r="R153" t="str">
        <f ca="1">IFERROR(IF(0=LEN(ReferenceData!$R$153),"",ReferenceData!$R$153),"")</f>
        <v/>
      </c>
      <c r="S153" t="str">
        <f ca="1">IFERROR(IF(0=LEN(ReferenceData!$S$153),"",ReferenceData!$S$153),"")</f>
        <v/>
      </c>
      <c r="T153" t="str">
        <f ca="1">IFERROR(IF(0=LEN(ReferenceData!$T$153),"",ReferenceData!$T$153),"")</f>
        <v/>
      </c>
      <c r="U153" t="str">
        <f ca="1">IFERROR(IF(0=LEN(ReferenceData!$U$153),"",ReferenceData!$U$153),"")</f>
        <v/>
      </c>
      <c r="V153" t="str">
        <f ca="1">IFERROR(IF(0=LEN(ReferenceData!$V$153),"",ReferenceData!$V$153),"")</f>
        <v/>
      </c>
      <c r="W153" t="str">
        <f ca="1">IFERROR(IF(0=LEN(ReferenceData!$W$153),"",ReferenceData!$W$153),"")</f>
        <v/>
      </c>
      <c r="X153" t="str">
        <f ca="1">IFERROR(IF(0=LEN(ReferenceData!$X$153),"",ReferenceData!$X$153),"")</f>
        <v/>
      </c>
      <c r="Y153" t="str">
        <f ca="1">IFERROR(IF(0=LEN(ReferenceData!$Y$153),"",ReferenceData!$Y$153),"")</f>
        <v/>
      </c>
      <c r="Z153" t="str">
        <f ca="1">IFERROR(IF(0=LEN(ReferenceData!$Z$153),"",ReferenceData!$Z$153),"")</f>
        <v/>
      </c>
      <c r="AA153" t="str">
        <f ca="1">IFERROR(IF(0=LEN(ReferenceData!$AA$153),"",ReferenceData!$AA$153),"")</f>
        <v/>
      </c>
      <c r="AB153" t="str">
        <f ca="1">IFERROR(IF(0=LEN(ReferenceData!$AB$153),"",ReferenceData!$AB$153),"")</f>
        <v/>
      </c>
      <c r="AC153" t="str">
        <f ca="1">IFERROR(IF(0=LEN(ReferenceData!$AC$153),"",ReferenceData!$AC$153),"")</f>
        <v/>
      </c>
      <c r="AD153" t="str">
        <f ca="1">IFERROR(IF(0=LEN(ReferenceData!$AD$153),"",ReferenceData!$AD$153),"")</f>
        <v/>
      </c>
      <c r="AE153" t="str">
        <f ca="1">IFERROR(IF(0=LEN(ReferenceData!$AE$153),"",ReferenceData!$AE$153),"")</f>
        <v/>
      </c>
      <c r="AF153" t="str">
        <f ca="1">IFERROR(IF(0=LEN(ReferenceData!$AF$153),"",ReferenceData!$AF$153),"")</f>
        <v/>
      </c>
      <c r="AG153" t="str">
        <f ca="1">IFERROR(IF(0=LEN(ReferenceData!$AG$153),"",ReferenceData!$AG$153),"")</f>
        <v/>
      </c>
      <c r="AH153" t="str">
        <f ca="1">IFERROR(IF(0=LEN(ReferenceData!$AH$153),"",ReferenceData!$AH$153),"")</f>
        <v/>
      </c>
      <c r="AI153" t="str">
        <f ca="1">IFERROR(IF(0=LEN(ReferenceData!$AI$153),"",ReferenceData!$AI$153),"")</f>
        <v/>
      </c>
      <c r="AJ153" t="str">
        <f ca="1">IFERROR(IF(0=LEN(ReferenceData!$AJ$153),"",ReferenceData!$AJ$153),"")</f>
        <v/>
      </c>
      <c r="AK153" t="str">
        <f ca="1">IFERROR(IF(0=LEN(ReferenceData!$AK$153),"",ReferenceData!$AK$153),"")</f>
        <v/>
      </c>
      <c r="AL153" t="str">
        <f ca="1">IFERROR(IF(0=LEN(ReferenceData!$AL$153),"",ReferenceData!$AL$153),"")</f>
        <v/>
      </c>
      <c r="AM153" t="str">
        <f ca="1">IFERROR(IF(0=LEN(ReferenceData!$AM$153),"",ReferenceData!$AM$153),"")</f>
        <v/>
      </c>
      <c r="AN153" t="str">
        <f ca="1">IFERROR(IF(0=LEN(ReferenceData!$AN$153),"",ReferenceData!$AN$153),"")</f>
        <v/>
      </c>
      <c r="AO153" t="str">
        <f ca="1">IFERROR(IF(0=LEN(ReferenceData!$AO$153),"",ReferenceData!$AO$153),"")</f>
        <v/>
      </c>
      <c r="AP153" t="str">
        <f ca="1">IFERROR(IF(0=LEN(ReferenceData!$AP$153),"",ReferenceData!$AP$153),"")</f>
        <v/>
      </c>
      <c r="AQ153" t="str">
        <f ca="1">IFERROR(IF(0=LEN(ReferenceData!$AQ$153),"",ReferenceData!$AQ$153),"")</f>
        <v/>
      </c>
      <c r="AR153" t="str">
        <f ca="1">IFERROR(IF(0=LEN(ReferenceData!$AR$153),"",ReferenceData!$AR$153),"")</f>
        <v/>
      </c>
      <c r="AS153" t="str">
        <f ca="1">IFERROR(IF(0=LEN(ReferenceData!$AS$153),"",ReferenceData!$AS$153),"")</f>
        <v/>
      </c>
      <c r="AT153" t="str">
        <f ca="1">IFERROR(IF(0=LEN(ReferenceData!$AT$153),"",ReferenceData!$AT$153),"")</f>
        <v/>
      </c>
      <c r="AU153" t="str">
        <f ca="1">IFERROR(IF(0=LEN(ReferenceData!$AU$153),"",ReferenceData!$AU$153),"")</f>
        <v/>
      </c>
      <c r="AV153" t="str">
        <f ca="1">IFERROR(IF(0=LEN(ReferenceData!$AV$153),"",ReferenceData!$AV$153),"")</f>
        <v/>
      </c>
      <c r="AW153" t="str">
        <f ca="1">IFERROR(IF(0=LEN(ReferenceData!$AW$153),"",ReferenceData!$AW$153),"")</f>
        <v/>
      </c>
      <c r="AX153" t="str">
        <f ca="1">IFERROR(IF(0=LEN(ReferenceData!$AX$153),"",ReferenceData!$AX$153),"")</f>
        <v/>
      </c>
      <c r="AY153" t="str">
        <f ca="1">IFERROR(IF(0=LEN(ReferenceData!$AY$153),"",ReferenceData!$AY$153),"")</f>
        <v/>
      </c>
      <c r="AZ153" t="str">
        <f ca="1">IFERROR(IF(0=LEN(ReferenceData!$AZ$153),"",ReferenceData!$AZ$153),"")</f>
        <v/>
      </c>
      <c r="BA153" t="str">
        <f ca="1">IFERROR(IF(0=LEN(ReferenceData!$BA$153),"",ReferenceData!$BA$153),"")</f>
        <v/>
      </c>
      <c r="BB153" t="str">
        <f ca="1">IFERROR(IF(0=LEN(ReferenceData!$BB$153),"",ReferenceData!$BB$153),"")</f>
        <v/>
      </c>
      <c r="BC153" t="str">
        <f ca="1">IFERROR(IF(0=LEN(ReferenceData!$BC$153),"",ReferenceData!$BC$153),"")</f>
        <v/>
      </c>
      <c r="BD153" t="str">
        <f ca="1">IFERROR(IF(0=LEN(ReferenceData!$BD$153),"",ReferenceData!$BD$153),"")</f>
        <v/>
      </c>
      <c r="BE153" t="str">
        <f ca="1">IFERROR(IF(0=LEN(ReferenceData!$BE$153),"",ReferenceData!$BE$153),"")</f>
        <v/>
      </c>
      <c r="BF153" t="str">
        <f ca="1">IFERROR(IF(0=LEN(ReferenceData!$BF$153),"",ReferenceData!$BF$153),"")</f>
        <v/>
      </c>
      <c r="BG153" t="str">
        <f ca="1">IFERROR(IF(0=LEN(ReferenceData!$BG$153),"",ReferenceData!$BG$153),"")</f>
        <v/>
      </c>
      <c r="BH153" t="str">
        <f ca="1">IFERROR(IF(0=LEN(ReferenceData!$BH$153),"",ReferenceData!$BH$153),"")</f>
        <v/>
      </c>
      <c r="BI153" t="str">
        <f ca="1">IFERROR(IF(0=LEN(ReferenceData!$BI$153),"",ReferenceData!$BI$153),"")</f>
        <v/>
      </c>
      <c r="BJ153" t="str">
        <f ca="1">IFERROR(IF(0=LEN(ReferenceData!$BJ$153),"",ReferenceData!$BJ$153),"")</f>
        <v/>
      </c>
      <c r="BK153" t="str">
        <f ca="1">IFERROR(IF(0=LEN(ReferenceData!$BK$153),"",ReferenceData!$BK$153),"")</f>
        <v/>
      </c>
      <c r="BL153" t="str">
        <f ca="1">IFERROR(IF(0=LEN(ReferenceData!$BL$153),"",ReferenceData!$BL$153),"")</f>
        <v/>
      </c>
      <c r="BM153" t="str">
        <f ca="1">IFERROR(IF(0=LEN(ReferenceData!$BM$153),"",ReferenceData!$BM$153),"")</f>
        <v/>
      </c>
    </row>
    <row r="154" spans="1:65">
      <c r="A154" t="str">
        <f>IFERROR(IF(0=LEN(ReferenceData!$A$154),"",ReferenceData!$A$154),"")</f>
        <v xml:space="preserve">    First Republic Bank/CA</v>
      </c>
      <c r="B154" t="str">
        <f>IFERROR(IF(0=LEN(ReferenceData!$B$154),"",ReferenceData!$B$154),"")</f>
        <v>FRCB US Equity</v>
      </c>
      <c r="C154" t="str">
        <f>IFERROR(IF(0=LEN(ReferenceData!$C$154),"",ReferenceData!$C$154),"")</f>
        <v>BS963</v>
      </c>
      <c r="D154" t="str">
        <f>IFERROR(IF(0=LEN(ReferenceData!$D$154),"",ReferenceData!$D$154),"")</f>
        <v>BS_COMML_MTG_SERVICED_OTHERS</v>
      </c>
      <c r="E154" t="str">
        <f>IFERROR(IF(0=LEN(ReferenceData!$E$154),"",ReferenceData!$E$154),"")</f>
        <v>Dynamic</v>
      </c>
      <c r="F154" t="str">
        <f ca="1">IFERROR(IF(0=LEN(ReferenceData!$F$154),"",ReferenceData!$F$154),"")</f>
        <v/>
      </c>
      <c r="G154" t="str">
        <f ca="1">IFERROR(IF(0=LEN(ReferenceData!$G$154),"",ReferenceData!$G$154),"")</f>
        <v/>
      </c>
      <c r="H154" t="str">
        <f ca="1">IFERROR(IF(0=LEN(ReferenceData!$H$154),"",ReferenceData!$H$154),"")</f>
        <v/>
      </c>
      <c r="I154" t="str">
        <f ca="1">IFERROR(IF(0=LEN(ReferenceData!$I$154),"",ReferenceData!$I$154),"")</f>
        <v/>
      </c>
      <c r="J154" t="str">
        <f ca="1">IFERROR(IF(0=LEN(ReferenceData!$J$154),"",ReferenceData!$J$154),"")</f>
        <v/>
      </c>
      <c r="K154" t="str">
        <f ca="1">IFERROR(IF(0=LEN(ReferenceData!$K$154),"",ReferenceData!$K$154),"")</f>
        <v/>
      </c>
      <c r="L154" t="str">
        <f ca="1">IFERROR(IF(0=LEN(ReferenceData!$L$154),"",ReferenceData!$L$154),"")</f>
        <v/>
      </c>
      <c r="M154" t="str">
        <f ca="1">IFERROR(IF(0=LEN(ReferenceData!$M$154),"",ReferenceData!$M$154),"")</f>
        <v/>
      </c>
      <c r="N154" t="str">
        <f ca="1">IFERROR(IF(0=LEN(ReferenceData!$N$154),"",ReferenceData!$N$154),"")</f>
        <v/>
      </c>
      <c r="O154" t="str">
        <f ca="1">IFERROR(IF(0=LEN(ReferenceData!$O$154),"",ReferenceData!$O$154),"")</f>
        <v/>
      </c>
      <c r="P154" t="str">
        <f ca="1">IFERROR(IF(0=LEN(ReferenceData!$P$154),"",ReferenceData!$P$154),"")</f>
        <v/>
      </c>
      <c r="Q154" t="str">
        <f ca="1">IFERROR(IF(0=LEN(ReferenceData!$Q$154),"",ReferenceData!$Q$154),"")</f>
        <v/>
      </c>
      <c r="R154" t="str">
        <f ca="1">IFERROR(IF(0=LEN(ReferenceData!$R$154),"",ReferenceData!$R$154),"")</f>
        <v/>
      </c>
      <c r="S154" t="str">
        <f ca="1">IFERROR(IF(0=LEN(ReferenceData!$S$154),"",ReferenceData!$S$154),"")</f>
        <v/>
      </c>
      <c r="T154" t="str">
        <f ca="1">IFERROR(IF(0=LEN(ReferenceData!$T$154),"",ReferenceData!$T$154),"")</f>
        <v/>
      </c>
      <c r="U154" t="str">
        <f ca="1">IFERROR(IF(0=LEN(ReferenceData!$U$154),"",ReferenceData!$U$154),"")</f>
        <v/>
      </c>
      <c r="V154" t="str">
        <f ca="1">IFERROR(IF(0=LEN(ReferenceData!$V$154),"",ReferenceData!$V$154),"")</f>
        <v/>
      </c>
      <c r="W154" t="str">
        <f ca="1">IFERROR(IF(0=LEN(ReferenceData!$W$154),"",ReferenceData!$W$154),"")</f>
        <v/>
      </c>
      <c r="X154" t="str">
        <f ca="1">IFERROR(IF(0=LEN(ReferenceData!$X$154),"",ReferenceData!$X$154),"")</f>
        <v/>
      </c>
      <c r="Y154" t="str">
        <f ca="1">IFERROR(IF(0=LEN(ReferenceData!$Y$154),"",ReferenceData!$Y$154),"")</f>
        <v/>
      </c>
      <c r="Z154" t="str">
        <f ca="1">IFERROR(IF(0=LEN(ReferenceData!$Z$154),"",ReferenceData!$Z$154),"")</f>
        <v/>
      </c>
      <c r="AA154" t="str">
        <f ca="1">IFERROR(IF(0=LEN(ReferenceData!$AA$154),"",ReferenceData!$AA$154),"")</f>
        <v/>
      </c>
      <c r="AB154" t="str">
        <f ca="1">IFERROR(IF(0=LEN(ReferenceData!$AB$154),"",ReferenceData!$AB$154),"")</f>
        <v/>
      </c>
      <c r="AC154" t="str">
        <f ca="1">IFERROR(IF(0=LEN(ReferenceData!$AC$154),"",ReferenceData!$AC$154),"")</f>
        <v/>
      </c>
      <c r="AD154" t="str">
        <f ca="1">IFERROR(IF(0=LEN(ReferenceData!$AD$154),"",ReferenceData!$AD$154),"")</f>
        <v/>
      </c>
      <c r="AE154" t="str">
        <f ca="1">IFERROR(IF(0=LEN(ReferenceData!$AE$154),"",ReferenceData!$AE$154),"")</f>
        <v/>
      </c>
      <c r="AF154" t="str">
        <f ca="1">IFERROR(IF(0=LEN(ReferenceData!$AF$154),"",ReferenceData!$AF$154),"")</f>
        <v/>
      </c>
      <c r="AG154" t="str">
        <f ca="1">IFERROR(IF(0=LEN(ReferenceData!$AG$154),"",ReferenceData!$AG$154),"")</f>
        <v/>
      </c>
      <c r="AH154" t="str">
        <f ca="1">IFERROR(IF(0=LEN(ReferenceData!$AH$154),"",ReferenceData!$AH$154),"")</f>
        <v/>
      </c>
      <c r="AI154" t="str">
        <f ca="1">IFERROR(IF(0=LEN(ReferenceData!$AI$154),"",ReferenceData!$AI$154),"")</f>
        <v/>
      </c>
      <c r="AJ154" t="str">
        <f ca="1">IFERROR(IF(0=LEN(ReferenceData!$AJ$154),"",ReferenceData!$AJ$154),"")</f>
        <v/>
      </c>
      <c r="AK154" t="str">
        <f ca="1">IFERROR(IF(0=LEN(ReferenceData!$AK$154),"",ReferenceData!$AK$154),"")</f>
        <v/>
      </c>
      <c r="AL154" t="str">
        <f ca="1">IFERROR(IF(0=LEN(ReferenceData!$AL$154),"",ReferenceData!$AL$154),"")</f>
        <v/>
      </c>
      <c r="AM154" t="str">
        <f ca="1">IFERROR(IF(0=LEN(ReferenceData!$AM$154),"",ReferenceData!$AM$154),"")</f>
        <v/>
      </c>
      <c r="AN154" t="str">
        <f ca="1">IFERROR(IF(0=LEN(ReferenceData!$AN$154),"",ReferenceData!$AN$154),"")</f>
        <v/>
      </c>
      <c r="AO154" t="str">
        <f ca="1">IFERROR(IF(0=LEN(ReferenceData!$AO$154),"",ReferenceData!$AO$154),"")</f>
        <v/>
      </c>
      <c r="AP154" t="str">
        <f ca="1">IFERROR(IF(0=LEN(ReferenceData!$AP$154),"",ReferenceData!$AP$154),"")</f>
        <v/>
      </c>
      <c r="AQ154" t="str">
        <f ca="1">IFERROR(IF(0=LEN(ReferenceData!$AQ$154),"",ReferenceData!$AQ$154),"")</f>
        <v/>
      </c>
      <c r="AR154" t="str">
        <f ca="1">IFERROR(IF(0=LEN(ReferenceData!$AR$154),"",ReferenceData!$AR$154),"")</f>
        <v/>
      </c>
      <c r="AS154" t="str">
        <f ca="1">IFERROR(IF(0=LEN(ReferenceData!$AS$154),"",ReferenceData!$AS$154),"")</f>
        <v/>
      </c>
      <c r="AT154" t="str">
        <f ca="1">IFERROR(IF(0=LEN(ReferenceData!$AT$154),"",ReferenceData!$AT$154),"")</f>
        <v/>
      </c>
      <c r="AU154" t="str">
        <f ca="1">IFERROR(IF(0=LEN(ReferenceData!$AU$154),"",ReferenceData!$AU$154),"")</f>
        <v/>
      </c>
      <c r="AV154" t="str">
        <f ca="1">IFERROR(IF(0=LEN(ReferenceData!$AV$154),"",ReferenceData!$AV$154),"")</f>
        <v/>
      </c>
      <c r="AW154" t="str">
        <f ca="1">IFERROR(IF(0=LEN(ReferenceData!$AW$154),"",ReferenceData!$AW$154),"")</f>
        <v/>
      </c>
      <c r="AX154" t="str">
        <f ca="1">IFERROR(IF(0=LEN(ReferenceData!$AX$154),"",ReferenceData!$AX$154),"")</f>
        <v/>
      </c>
      <c r="AY154" t="str">
        <f ca="1">IFERROR(IF(0=LEN(ReferenceData!$AY$154),"",ReferenceData!$AY$154),"")</f>
        <v/>
      </c>
      <c r="AZ154" t="str">
        <f ca="1">IFERROR(IF(0=LEN(ReferenceData!$AZ$154),"",ReferenceData!$AZ$154),"")</f>
        <v/>
      </c>
      <c r="BA154" t="str">
        <f ca="1">IFERROR(IF(0=LEN(ReferenceData!$BA$154),"",ReferenceData!$BA$154),"")</f>
        <v/>
      </c>
      <c r="BB154" t="str">
        <f ca="1">IFERROR(IF(0=LEN(ReferenceData!$BB$154),"",ReferenceData!$BB$154),"")</f>
        <v/>
      </c>
      <c r="BC154" t="str">
        <f ca="1">IFERROR(IF(0=LEN(ReferenceData!$BC$154),"",ReferenceData!$BC$154),"")</f>
        <v/>
      </c>
      <c r="BD154" t="str">
        <f ca="1">IFERROR(IF(0=LEN(ReferenceData!$BD$154),"",ReferenceData!$BD$154),"")</f>
        <v/>
      </c>
      <c r="BE154" t="str">
        <f ca="1">IFERROR(IF(0=LEN(ReferenceData!$BE$154),"",ReferenceData!$BE$154),"")</f>
        <v/>
      </c>
      <c r="BF154" t="str">
        <f ca="1">IFERROR(IF(0=LEN(ReferenceData!$BF$154),"",ReferenceData!$BF$154),"")</f>
        <v/>
      </c>
      <c r="BG154" t="str">
        <f ca="1">IFERROR(IF(0=LEN(ReferenceData!$BG$154),"",ReferenceData!$BG$154),"")</f>
        <v/>
      </c>
      <c r="BH154" t="str">
        <f ca="1">IFERROR(IF(0=LEN(ReferenceData!$BH$154),"",ReferenceData!$BH$154),"")</f>
        <v/>
      </c>
      <c r="BI154" t="str">
        <f ca="1">IFERROR(IF(0=LEN(ReferenceData!$BI$154),"",ReferenceData!$BI$154),"")</f>
        <v/>
      </c>
      <c r="BJ154" t="str">
        <f ca="1">IFERROR(IF(0=LEN(ReferenceData!$BJ$154),"",ReferenceData!$BJ$154),"")</f>
        <v/>
      </c>
      <c r="BK154" t="str">
        <f ca="1">IFERROR(IF(0=LEN(ReferenceData!$BK$154),"",ReferenceData!$BK$154),"")</f>
        <v/>
      </c>
      <c r="BL154" t="str">
        <f ca="1">IFERROR(IF(0=LEN(ReferenceData!$BL$154),"",ReferenceData!$BL$154),"")</f>
        <v/>
      </c>
      <c r="BM154" t="str">
        <f ca="1">IFERROR(IF(0=LEN(ReferenceData!$BM$154),"",ReferenceData!$BM$154),"")</f>
        <v/>
      </c>
    </row>
    <row r="155" spans="1:65">
      <c r="A155" t="str">
        <f>IFERROR(IF(0=LEN(ReferenceData!$A$155),"",ReferenceData!$A$155),"")</f>
        <v xml:space="preserve">    Fifth Third Bancorp</v>
      </c>
      <c r="B155" t="str">
        <f>IFERROR(IF(0=LEN(ReferenceData!$B$155),"",ReferenceData!$B$155),"")</f>
        <v>FITB US Equity</v>
      </c>
      <c r="C155" t="str">
        <f>IFERROR(IF(0=LEN(ReferenceData!$C$155),"",ReferenceData!$C$155),"")</f>
        <v>BS963</v>
      </c>
      <c r="D155" t="str">
        <f>IFERROR(IF(0=LEN(ReferenceData!$D$155),"",ReferenceData!$D$155),"")</f>
        <v>BS_COMML_MTG_SERVICED_OTHERS</v>
      </c>
      <c r="E155" t="str">
        <f>IFERROR(IF(0=LEN(ReferenceData!$E$155),"",ReferenceData!$E$155),"")</f>
        <v>Dynamic</v>
      </c>
      <c r="F155">
        <f ca="1">IFERROR(IF(0=LEN(ReferenceData!$F$155),"",ReferenceData!$F$155),"")</f>
        <v>579</v>
      </c>
      <c r="G155">
        <f ca="1">IFERROR(IF(0=LEN(ReferenceData!$G$155),"",ReferenceData!$G$155),"")</f>
        <v>515</v>
      </c>
      <c r="H155">
        <f ca="1">IFERROR(IF(0=LEN(ReferenceData!$H$155),"",ReferenceData!$H$155),"")</f>
        <v>616</v>
      </c>
      <c r="I155">
        <f ca="1">IFERROR(IF(0=LEN(ReferenceData!$I$155),"",ReferenceData!$I$155),"")</f>
        <v>632</v>
      </c>
      <c r="J155">
        <f ca="1">IFERROR(IF(0=LEN(ReferenceData!$J$155),"",ReferenceData!$J$155),"")</f>
        <v>655</v>
      </c>
      <c r="K155">
        <f ca="1">IFERROR(IF(0=LEN(ReferenceData!$K$155),"",ReferenceData!$K$155),"")</f>
        <v>711</v>
      </c>
      <c r="L155">
        <f ca="1">IFERROR(IF(0=LEN(ReferenceData!$L$155),"",ReferenceData!$L$155),"")</f>
        <v>748</v>
      </c>
      <c r="M155">
        <f ca="1">IFERROR(IF(0=LEN(ReferenceData!$M$155),"",ReferenceData!$M$155),"")</f>
        <v>696</v>
      </c>
      <c r="N155">
        <f ca="1">IFERROR(IF(0=LEN(ReferenceData!$N$155),"",ReferenceData!$N$155),"")</f>
        <v>614</v>
      </c>
      <c r="O155">
        <f ca="1">IFERROR(IF(0=LEN(ReferenceData!$O$155),"",ReferenceData!$O$155),"")</f>
        <v>630</v>
      </c>
      <c r="P155">
        <f ca="1">IFERROR(IF(0=LEN(ReferenceData!$P$155),"",ReferenceData!$P$155),"")</f>
        <v>601</v>
      </c>
      <c r="Q155">
        <f ca="1">IFERROR(IF(0=LEN(ReferenceData!$Q$155),"",ReferenceData!$Q$155),"")</f>
        <v>592</v>
      </c>
      <c r="R155">
        <f ca="1">IFERROR(IF(0=LEN(ReferenceData!$R$155),"",ReferenceData!$R$155),"")</f>
        <v>610</v>
      </c>
      <c r="S155">
        <f ca="1">IFERROR(IF(0=LEN(ReferenceData!$S$155),"",ReferenceData!$S$155),"")</f>
        <v>620</v>
      </c>
      <c r="T155">
        <f ca="1">IFERROR(IF(0=LEN(ReferenceData!$T$155),"",ReferenceData!$T$155),"")</f>
        <v>623</v>
      </c>
      <c r="U155">
        <f ca="1">IFERROR(IF(0=LEN(ReferenceData!$U$155),"",ReferenceData!$U$155),"")</f>
        <v>639</v>
      </c>
      <c r="V155">
        <f ca="1">IFERROR(IF(0=LEN(ReferenceData!$V$155),"",ReferenceData!$V$155),"")</f>
        <v>653</v>
      </c>
      <c r="W155">
        <f ca="1">IFERROR(IF(0=LEN(ReferenceData!$W$155),"",ReferenceData!$W$155),"")</f>
        <v>585</v>
      </c>
      <c r="X155">
        <f ca="1">IFERROR(IF(0=LEN(ReferenceData!$X$155),"",ReferenceData!$X$155),"")</f>
        <v>592</v>
      </c>
      <c r="Y155">
        <f ca="1">IFERROR(IF(0=LEN(ReferenceData!$Y$155),"",ReferenceData!$Y$155),"")</f>
        <v>545</v>
      </c>
      <c r="Z155">
        <f ca="1">IFERROR(IF(0=LEN(ReferenceData!$Z$155),"",ReferenceData!$Z$155),"")</f>
        <v>454</v>
      </c>
      <c r="AA155">
        <f ca="1">IFERROR(IF(0=LEN(ReferenceData!$AA$155),"",ReferenceData!$AA$155),"")</f>
        <v>446</v>
      </c>
      <c r="AB155">
        <f ca="1">IFERROR(IF(0=LEN(ReferenceData!$AB$155),"",ReferenceData!$AB$155),"")</f>
        <v>438</v>
      </c>
      <c r="AC155">
        <f ca="1">IFERROR(IF(0=LEN(ReferenceData!$AC$155),"",ReferenceData!$AC$155),"")</f>
        <v>467</v>
      </c>
      <c r="AD155">
        <f ca="1">IFERROR(IF(0=LEN(ReferenceData!$AD$155),"",ReferenceData!$AD$155),"")</f>
        <v>292</v>
      </c>
      <c r="AE155">
        <f ca="1">IFERROR(IF(0=LEN(ReferenceData!$AE$155),"",ReferenceData!$AE$155),"")</f>
        <v>294</v>
      </c>
      <c r="AF155">
        <f ca="1">IFERROR(IF(0=LEN(ReferenceData!$AF$155),"",ReferenceData!$AF$155),"")</f>
        <v>263</v>
      </c>
      <c r="AG155">
        <f ca="1">IFERROR(IF(0=LEN(ReferenceData!$AG$155),"",ReferenceData!$AG$155),"")</f>
        <v>238</v>
      </c>
      <c r="AH155">
        <f ca="1">IFERROR(IF(0=LEN(ReferenceData!$AH$155),"",ReferenceData!$AH$155),"")</f>
        <v>240</v>
      </c>
      <c r="AI155">
        <f ca="1">IFERROR(IF(0=LEN(ReferenceData!$AI$155),"",ReferenceData!$AI$155),"")</f>
        <v>228</v>
      </c>
      <c r="AJ155">
        <f ca="1">IFERROR(IF(0=LEN(ReferenceData!$AJ$155),"",ReferenceData!$AJ$155),"")</f>
        <v>242</v>
      </c>
      <c r="AK155">
        <f ca="1">IFERROR(IF(0=LEN(ReferenceData!$AK$155),"",ReferenceData!$AK$155),"")</f>
        <v>223</v>
      </c>
      <c r="AL155">
        <f ca="1">IFERROR(IF(0=LEN(ReferenceData!$AL$155),"",ReferenceData!$AL$155),"")</f>
        <v>226</v>
      </c>
      <c r="AM155">
        <f ca="1">IFERROR(IF(0=LEN(ReferenceData!$AM$155),"",ReferenceData!$AM$155),"")</f>
        <v>226</v>
      </c>
      <c r="AN155">
        <f ca="1">IFERROR(IF(0=LEN(ReferenceData!$AN$155),"",ReferenceData!$AN$155),"")</f>
        <v>229</v>
      </c>
      <c r="AO155">
        <f ca="1">IFERROR(IF(0=LEN(ReferenceData!$AO$155),"",ReferenceData!$AO$155),"")</f>
        <v>231</v>
      </c>
      <c r="AP155">
        <f ca="1">IFERROR(IF(0=LEN(ReferenceData!$AP$155),"",ReferenceData!$AP$155),"")</f>
        <v>624</v>
      </c>
      <c r="AQ155">
        <f ca="1">IFERROR(IF(0=LEN(ReferenceData!$AQ$155),"",ReferenceData!$AQ$155),"")</f>
        <v>146</v>
      </c>
      <c r="AR155">
        <f ca="1">IFERROR(IF(0=LEN(ReferenceData!$AR$155),"",ReferenceData!$AR$155),"")</f>
        <v>174</v>
      </c>
      <c r="AS155">
        <f ca="1">IFERROR(IF(0=LEN(ReferenceData!$AS$155),"",ReferenceData!$AS$155),"")</f>
        <v>279</v>
      </c>
      <c r="AT155">
        <f ca="1">IFERROR(IF(0=LEN(ReferenceData!$AT$155),"",ReferenceData!$AT$155),"")</f>
        <v>1100</v>
      </c>
      <c r="AU155">
        <f ca="1">IFERROR(IF(0=LEN(ReferenceData!$AU$155),"",ReferenceData!$AU$155),"")</f>
        <v>274</v>
      </c>
      <c r="AV155">
        <f ca="1">IFERROR(IF(0=LEN(ReferenceData!$AV$155),"",ReferenceData!$AV$155),"")</f>
        <v>277</v>
      </c>
      <c r="AW155">
        <f ca="1">IFERROR(IF(0=LEN(ReferenceData!$AW$155),"",ReferenceData!$AW$155),"")</f>
        <v>280</v>
      </c>
      <c r="AX155">
        <f ca="1">IFERROR(IF(0=LEN(ReferenceData!$AX$155),"",ReferenceData!$AX$155),"")</f>
        <v>1185</v>
      </c>
      <c r="AY155">
        <f ca="1">IFERROR(IF(0=LEN(ReferenceData!$AY$155),"",ReferenceData!$AY$155),"")</f>
        <v>284</v>
      </c>
      <c r="AZ155">
        <f ca="1">IFERROR(IF(0=LEN(ReferenceData!$AZ$155),"",ReferenceData!$AZ$155),"")</f>
        <v>293</v>
      </c>
      <c r="BA155">
        <f ca="1">IFERROR(IF(0=LEN(ReferenceData!$BA$155),"",ReferenceData!$BA$155),"")</f>
        <v>334</v>
      </c>
      <c r="BB155">
        <f ca="1">IFERROR(IF(0=LEN(ReferenceData!$BB$155),"",ReferenceData!$BB$155),"")</f>
        <v>325</v>
      </c>
      <c r="BC155">
        <f ca="1">IFERROR(IF(0=LEN(ReferenceData!$BC$155),"",ReferenceData!$BC$155),"")</f>
        <v>324</v>
      </c>
      <c r="BD155">
        <f ca="1">IFERROR(IF(0=LEN(ReferenceData!$BD$155),"",ReferenceData!$BD$155),"")</f>
        <v>319</v>
      </c>
      <c r="BE155">
        <f ca="1">IFERROR(IF(0=LEN(ReferenceData!$BE$155),"",ReferenceData!$BE$155),"")</f>
        <v>319</v>
      </c>
      <c r="BF155">
        <f ca="1">IFERROR(IF(0=LEN(ReferenceData!$BF$155),"",ReferenceData!$BF$155),"")</f>
        <v>286</v>
      </c>
      <c r="BG155">
        <f ca="1">IFERROR(IF(0=LEN(ReferenceData!$BG$155),"",ReferenceData!$BG$155),"")</f>
        <v>301</v>
      </c>
      <c r="BH155">
        <f ca="1">IFERROR(IF(0=LEN(ReferenceData!$BH$155),"",ReferenceData!$BH$155),"")</f>
        <v>304</v>
      </c>
      <c r="BI155">
        <f ca="1">IFERROR(IF(0=LEN(ReferenceData!$BI$155),"",ReferenceData!$BI$155),"")</f>
        <v>328</v>
      </c>
      <c r="BJ155">
        <f ca="1">IFERROR(IF(0=LEN(ReferenceData!$BJ$155),"",ReferenceData!$BJ$155),"")</f>
        <v>337</v>
      </c>
      <c r="BK155">
        <f ca="1">IFERROR(IF(0=LEN(ReferenceData!$BK$155),"",ReferenceData!$BK$155),"")</f>
        <v>335</v>
      </c>
      <c r="BL155">
        <f ca="1">IFERROR(IF(0=LEN(ReferenceData!$BL$155),"",ReferenceData!$BL$155),"")</f>
        <v>315</v>
      </c>
      <c r="BM155" t="str">
        <f ca="1">IFERROR(IF(0=LEN(ReferenceData!$BM$155),"",ReferenceData!$BM$155),"")</f>
        <v/>
      </c>
    </row>
    <row r="156" spans="1:65">
      <c r="A156" t="str">
        <f>IFERROR(IF(0=LEN(ReferenceData!$A$156),"",ReferenceData!$A$156),"")</f>
        <v xml:space="preserve">    First Citizens BancShares Inc/</v>
      </c>
      <c r="B156" t="str">
        <f>IFERROR(IF(0=LEN(ReferenceData!$B$156),"",ReferenceData!$B$156),"")</f>
        <v>FCNCA US Equity</v>
      </c>
      <c r="C156" t="str">
        <f>IFERROR(IF(0=LEN(ReferenceData!$C$156),"",ReferenceData!$C$156),"")</f>
        <v>BS963</v>
      </c>
      <c r="D156" t="str">
        <f>IFERROR(IF(0=LEN(ReferenceData!$D$156),"",ReferenceData!$D$156),"")</f>
        <v>BS_COMML_MTG_SERVICED_OTHERS</v>
      </c>
      <c r="E156" t="str">
        <f>IFERROR(IF(0=LEN(ReferenceData!$E$156),"",ReferenceData!$E$156),"")</f>
        <v>Dynamic</v>
      </c>
      <c r="F156" t="str">
        <f ca="1">IFERROR(IF(0=LEN(ReferenceData!$F$156),"",ReferenceData!$F$156),"")</f>
        <v/>
      </c>
      <c r="G156" t="str">
        <f ca="1">IFERROR(IF(0=LEN(ReferenceData!$G$156),"",ReferenceData!$G$156),"")</f>
        <v/>
      </c>
      <c r="H156" t="str">
        <f ca="1">IFERROR(IF(0=LEN(ReferenceData!$H$156),"",ReferenceData!$H$156),"")</f>
        <v/>
      </c>
      <c r="I156" t="str">
        <f ca="1">IFERROR(IF(0=LEN(ReferenceData!$I$156),"",ReferenceData!$I$156),"")</f>
        <v/>
      </c>
      <c r="J156" t="str">
        <f ca="1">IFERROR(IF(0=LEN(ReferenceData!$J$156),"",ReferenceData!$J$156),"")</f>
        <v/>
      </c>
      <c r="K156" t="str">
        <f ca="1">IFERROR(IF(0=LEN(ReferenceData!$K$156),"",ReferenceData!$K$156),"")</f>
        <v/>
      </c>
      <c r="L156" t="str">
        <f ca="1">IFERROR(IF(0=LEN(ReferenceData!$L$156),"",ReferenceData!$L$156),"")</f>
        <v/>
      </c>
      <c r="M156" t="str">
        <f ca="1">IFERROR(IF(0=LEN(ReferenceData!$M$156),"",ReferenceData!$M$156),"")</f>
        <v/>
      </c>
      <c r="N156" t="str">
        <f ca="1">IFERROR(IF(0=LEN(ReferenceData!$N$156),"",ReferenceData!$N$156),"")</f>
        <v/>
      </c>
      <c r="O156" t="str">
        <f ca="1">IFERROR(IF(0=LEN(ReferenceData!$O$156),"",ReferenceData!$O$156),"")</f>
        <v/>
      </c>
      <c r="P156" t="str">
        <f ca="1">IFERROR(IF(0=LEN(ReferenceData!$P$156),"",ReferenceData!$P$156),"")</f>
        <v/>
      </c>
      <c r="Q156" t="str">
        <f ca="1">IFERROR(IF(0=LEN(ReferenceData!$Q$156),"",ReferenceData!$Q$156),"")</f>
        <v/>
      </c>
      <c r="R156" t="str">
        <f ca="1">IFERROR(IF(0=LEN(ReferenceData!$R$156),"",ReferenceData!$R$156),"")</f>
        <v/>
      </c>
      <c r="S156" t="str">
        <f ca="1">IFERROR(IF(0=LEN(ReferenceData!$S$156),"",ReferenceData!$S$156),"")</f>
        <v/>
      </c>
      <c r="T156" t="str">
        <f ca="1">IFERROR(IF(0=LEN(ReferenceData!$T$156),"",ReferenceData!$T$156),"")</f>
        <v/>
      </c>
      <c r="U156" t="str">
        <f ca="1">IFERROR(IF(0=LEN(ReferenceData!$U$156),"",ReferenceData!$U$156),"")</f>
        <v/>
      </c>
      <c r="V156" t="str">
        <f ca="1">IFERROR(IF(0=LEN(ReferenceData!$V$156),"",ReferenceData!$V$156),"")</f>
        <v/>
      </c>
      <c r="W156" t="str">
        <f ca="1">IFERROR(IF(0=LEN(ReferenceData!$W$156),"",ReferenceData!$W$156),"")</f>
        <v/>
      </c>
      <c r="X156" t="str">
        <f ca="1">IFERROR(IF(0=LEN(ReferenceData!$X$156),"",ReferenceData!$X$156),"")</f>
        <v/>
      </c>
      <c r="Y156" t="str">
        <f ca="1">IFERROR(IF(0=LEN(ReferenceData!$Y$156),"",ReferenceData!$Y$156),"")</f>
        <v/>
      </c>
      <c r="Z156" t="str">
        <f ca="1">IFERROR(IF(0=LEN(ReferenceData!$Z$156),"",ReferenceData!$Z$156),"")</f>
        <v/>
      </c>
      <c r="AA156" t="str">
        <f ca="1">IFERROR(IF(0=LEN(ReferenceData!$AA$156),"",ReferenceData!$AA$156),"")</f>
        <v/>
      </c>
      <c r="AB156" t="str">
        <f ca="1">IFERROR(IF(0=LEN(ReferenceData!$AB$156),"",ReferenceData!$AB$156),"")</f>
        <v/>
      </c>
      <c r="AC156" t="str">
        <f ca="1">IFERROR(IF(0=LEN(ReferenceData!$AC$156),"",ReferenceData!$AC$156),"")</f>
        <v/>
      </c>
      <c r="AD156" t="str">
        <f ca="1">IFERROR(IF(0=LEN(ReferenceData!$AD$156),"",ReferenceData!$AD$156),"")</f>
        <v/>
      </c>
      <c r="AE156" t="str">
        <f ca="1">IFERROR(IF(0=LEN(ReferenceData!$AE$156),"",ReferenceData!$AE$156),"")</f>
        <v/>
      </c>
      <c r="AF156" t="str">
        <f ca="1">IFERROR(IF(0=LEN(ReferenceData!$AF$156),"",ReferenceData!$AF$156),"")</f>
        <v/>
      </c>
      <c r="AG156" t="str">
        <f ca="1">IFERROR(IF(0=LEN(ReferenceData!$AG$156),"",ReferenceData!$AG$156),"")</f>
        <v/>
      </c>
      <c r="AH156" t="str">
        <f ca="1">IFERROR(IF(0=LEN(ReferenceData!$AH$156),"",ReferenceData!$AH$156),"")</f>
        <v/>
      </c>
      <c r="AI156" t="str">
        <f ca="1">IFERROR(IF(0=LEN(ReferenceData!$AI$156),"",ReferenceData!$AI$156),"")</f>
        <v/>
      </c>
      <c r="AJ156" t="str">
        <f ca="1">IFERROR(IF(0=LEN(ReferenceData!$AJ$156),"",ReferenceData!$AJ$156),"")</f>
        <v/>
      </c>
      <c r="AK156" t="str">
        <f ca="1">IFERROR(IF(0=LEN(ReferenceData!$AK$156),"",ReferenceData!$AK$156),"")</f>
        <v/>
      </c>
      <c r="AL156" t="str">
        <f ca="1">IFERROR(IF(0=LEN(ReferenceData!$AL$156),"",ReferenceData!$AL$156),"")</f>
        <v/>
      </c>
      <c r="AM156" t="str">
        <f ca="1">IFERROR(IF(0=LEN(ReferenceData!$AM$156),"",ReferenceData!$AM$156),"")</f>
        <v/>
      </c>
      <c r="AN156" t="str">
        <f ca="1">IFERROR(IF(0=LEN(ReferenceData!$AN$156),"",ReferenceData!$AN$156),"")</f>
        <v/>
      </c>
      <c r="AO156" t="str">
        <f ca="1">IFERROR(IF(0=LEN(ReferenceData!$AO$156),"",ReferenceData!$AO$156),"")</f>
        <v/>
      </c>
      <c r="AP156" t="str">
        <f ca="1">IFERROR(IF(0=LEN(ReferenceData!$AP$156),"",ReferenceData!$AP$156),"")</f>
        <v/>
      </c>
      <c r="AQ156" t="str">
        <f ca="1">IFERROR(IF(0=LEN(ReferenceData!$AQ$156),"",ReferenceData!$AQ$156),"")</f>
        <v/>
      </c>
      <c r="AR156" t="str">
        <f ca="1">IFERROR(IF(0=LEN(ReferenceData!$AR$156),"",ReferenceData!$AR$156),"")</f>
        <v/>
      </c>
      <c r="AS156" t="str">
        <f ca="1">IFERROR(IF(0=LEN(ReferenceData!$AS$156),"",ReferenceData!$AS$156),"")</f>
        <v/>
      </c>
      <c r="AT156" t="str">
        <f ca="1">IFERROR(IF(0=LEN(ReferenceData!$AT$156),"",ReferenceData!$AT$156),"")</f>
        <v/>
      </c>
      <c r="AU156" t="str">
        <f ca="1">IFERROR(IF(0=LEN(ReferenceData!$AU$156),"",ReferenceData!$AU$156),"")</f>
        <v/>
      </c>
      <c r="AV156" t="str">
        <f ca="1">IFERROR(IF(0=LEN(ReferenceData!$AV$156),"",ReferenceData!$AV$156),"")</f>
        <v/>
      </c>
      <c r="AW156" t="str">
        <f ca="1">IFERROR(IF(0=LEN(ReferenceData!$AW$156),"",ReferenceData!$AW$156),"")</f>
        <v/>
      </c>
      <c r="AX156" t="str">
        <f ca="1">IFERROR(IF(0=LEN(ReferenceData!$AX$156),"",ReferenceData!$AX$156),"")</f>
        <v/>
      </c>
      <c r="AY156" t="str">
        <f ca="1">IFERROR(IF(0=LEN(ReferenceData!$AY$156),"",ReferenceData!$AY$156),"")</f>
        <v/>
      </c>
      <c r="AZ156" t="str">
        <f ca="1">IFERROR(IF(0=LEN(ReferenceData!$AZ$156),"",ReferenceData!$AZ$156),"")</f>
        <v/>
      </c>
      <c r="BA156" t="str">
        <f ca="1">IFERROR(IF(0=LEN(ReferenceData!$BA$156),"",ReferenceData!$BA$156),"")</f>
        <v/>
      </c>
      <c r="BB156" t="str">
        <f ca="1">IFERROR(IF(0=LEN(ReferenceData!$BB$156),"",ReferenceData!$BB$156),"")</f>
        <v/>
      </c>
      <c r="BC156" t="str">
        <f ca="1">IFERROR(IF(0=LEN(ReferenceData!$BC$156),"",ReferenceData!$BC$156),"")</f>
        <v/>
      </c>
      <c r="BD156" t="str">
        <f ca="1">IFERROR(IF(0=LEN(ReferenceData!$BD$156),"",ReferenceData!$BD$156),"")</f>
        <v/>
      </c>
      <c r="BE156" t="str">
        <f ca="1">IFERROR(IF(0=LEN(ReferenceData!$BE$156),"",ReferenceData!$BE$156),"")</f>
        <v/>
      </c>
      <c r="BF156" t="str">
        <f ca="1">IFERROR(IF(0=LEN(ReferenceData!$BF$156),"",ReferenceData!$BF$156),"")</f>
        <v/>
      </c>
      <c r="BG156" t="str">
        <f ca="1">IFERROR(IF(0=LEN(ReferenceData!$BG$156),"",ReferenceData!$BG$156),"")</f>
        <v/>
      </c>
      <c r="BH156" t="str">
        <f ca="1">IFERROR(IF(0=LEN(ReferenceData!$BH$156),"",ReferenceData!$BH$156),"")</f>
        <v/>
      </c>
      <c r="BI156" t="str">
        <f ca="1">IFERROR(IF(0=LEN(ReferenceData!$BI$156),"",ReferenceData!$BI$156),"")</f>
        <v/>
      </c>
      <c r="BJ156" t="str">
        <f ca="1">IFERROR(IF(0=LEN(ReferenceData!$BJ$156),"",ReferenceData!$BJ$156),"")</f>
        <v/>
      </c>
      <c r="BK156" t="str">
        <f ca="1">IFERROR(IF(0=LEN(ReferenceData!$BK$156),"",ReferenceData!$BK$156),"")</f>
        <v/>
      </c>
      <c r="BL156" t="str">
        <f ca="1">IFERROR(IF(0=LEN(ReferenceData!$BL$156),"",ReferenceData!$BL$156),"")</f>
        <v/>
      </c>
      <c r="BM156" t="str">
        <f ca="1">IFERROR(IF(0=LEN(ReferenceData!$BM$156),"",ReferenceData!$BM$156),"")</f>
        <v/>
      </c>
    </row>
    <row r="157" spans="1:65">
      <c r="A157" t="str">
        <f>IFERROR(IF(0=LEN(ReferenceData!$A$157),"",ReferenceData!$A$157),"")</f>
        <v xml:space="preserve">    Flagstar Financial Inc</v>
      </c>
      <c r="B157" t="str">
        <f>IFERROR(IF(0=LEN(ReferenceData!$B$157),"",ReferenceData!$B$157),"")</f>
        <v>FLG US Equity</v>
      </c>
      <c r="C157" t="str">
        <f>IFERROR(IF(0=LEN(ReferenceData!$C$157),"",ReferenceData!$C$157),"")</f>
        <v>BS963</v>
      </c>
      <c r="D157" t="str">
        <f>IFERROR(IF(0=LEN(ReferenceData!$D$157),"",ReferenceData!$D$157),"")</f>
        <v>BS_COMML_MTG_SERVICED_OTHERS</v>
      </c>
      <c r="E157" t="str">
        <f>IFERROR(IF(0=LEN(ReferenceData!$E$157),"",ReferenceData!$E$157),"")</f>
        <v>Dynamic</v>
      </c>
      <c r="F157" t="str">
        <f ca="1">IFERROR(IF(0=LEN(ReferenceData!$F$157),"",ReferenceData!$F$157),"")</f>
        <v/>
      </c>
      <c r="G157" t="str">
        <f ca="1">IFERROR(IF(0=LEN(ReferenceData!$G$157),"",ReferenceData!$G$157),"")</f>
        <v/>
      </c>
      <c r="H157" t="str">
        <f ca="1">IFERROR(IF(0=LEN(ReferenceData!$H$157),"",ReferenceData!$H$157),"")</f>
        <v/>
      </c>
      <c r="I157" t="str">
        <f ca="1">IFERROR(IF(0=LEN(ReferenceData!$I$157),"",ReferenceData!$I$157),"")</f>
        <v/>
      </c>
      <c r="J157" t="str">
        <f ca="1">IFERROR(IF(0=LEN(ReferenceData!$J$157),"",ReferenceData!$J$157),"")</f>
        <v/>
      </c>
      <c r="K157" t="str">
        <f ca="1">IFERROR(IF(0=LEN(ReferenceData!$K$157),"",ReferenceData!$K$157),"")</f>
        <v/>
      </c>
      <c r="L157" t="str">
        <f ca="1">IFERROR(IF(0=LEN(ReferenceData!$L$157),"",ReferenceData!$L$157),"")</f>
        <v/>
      </c>
      <c r="M157" t="str">
        <f ca="1">IFERROR(IF(0=LEN(ReferenceData!$M$157),"",ReferenceData!$M$157),"")</f>
        <v/>
      </c>
      <c r="N157" t="str">
        <f ca="1">IFERROR(IF(0=LEN(ReferenceData!$N$157),"",ReferenceData!$N$157),"")</f>
        <v/>
      </c>
      <c r="O157" t="str">
        <f ca="1">IFERROR(IF(0=LEN(ReferenceData!$O$157),"",ReferenceData!$O$157),"")</f>
        <v/>
      </c>
      <c r="P157" t="str">
        <f ca="1">IFERROR(IF(0=LEN(ReferenceData!$P$157),"",ReferenceData!$P$157),"")</f>
        <v/>
      </c>
      <c r="Q157" t="str">
        <f ca="1">IFERROR(IF(0=LEN(ReferenceData!$Q$157),"",ReferenceData!$Q$157),"")</f>
        <v/>
      </c>
      <c r="R157" t="str">
        <f ca="1">IFERROR(IF(0=LEN(ReferenceData!$R$157),"",ReferenceData!$R$157),"")</f>
        <v/>
      </c>
      <c r="S157" t="str">
        <f ca="1">IFERROR(IF(0=LEN(ReferenceData!$S$157),"",ReferenceData!$S$157),"")</f>
        <v/>
      </c>
      <c r="T157" t="str">
        <f ca="1">IFERROR(IF(0=LEN(ReferenceData!$T$157),"",ReferenceData!$T$157),"")</f>
        <v/>
      </c>
      <c r="U157" t="str">
        <f ca="1">IFERROR(IF(0=LEN(ReferenceData!$U$157),"",ReferenceData!$U$157),"")</f>
        <v/>
      </c>
      <c r="V157" t="str">
        <f ca="1">IFERROR(IF(0=LEN(ReferenceData!$V$157),"",ReferenceData!$V$157),"")</f>
        <v/>
      </c>
      <c r="W157" t="str">
        <f ca="1">IFERROR(IF(0=LEN(ReferenceData!$W$157),"",ReferenceData!$W$157),"")</f>
        <v/>
      </c>
      <c r="X157" t="str">
        <f ca="1">IFERROR(IF(0=LEN(ReferenceData!$X$157),"",ReferenceData!$X$157),"")</f>
        <v/>
      </c>
      <c r="Y157" t="str">
        <f ca="1">IFERROR(IF(0=LEN(ReferenceData!$Y$157),"",ReferenceData!$Y$157),"")</f>
        <v/>
      </c>
      <c r="Z157" t="str">
        <f ca="1">IFERROR(IF(0=LEN(ReferenceData!$Z$157),"",ReferenceData!$Z$157),"")</f>
        <v/>
      </c>
      <c r="AA157" t="str">
        <f ca="1">IFERROR(IF(0=LEN(ReferenceData!$AA$157),"",ReferenceData!$AA$157),"")</f>
        <v/>
      </c>
      <c r="AB157" t="str">
        <f ca="1">IFERROR(IF(0=LEN(ReferenceData!$AB$157),"",ReferenceData!$AB$157),"")</f>
        <v/>
      </c>
      <c r="AC157" t="str">
        <f ca="1">IFERROR(IF(0=LEN(ReferenceData!$AC$157),"",ReferenceData!$AC$157),"")</f>
        <v/>
      </c>
      <c r="AD157" t="str">
        <f ca="1">IFERROR(IF(0=LEN(ReferenceData!$AD$157),"",ReferenceData!$AD$157),"")</f>
        <v/>
      </c>
      <c r="AE157" t="str">
        <f ca="1">IFERROR(IF(0=LEN(ReferenceData!$AE$157),"",ReferenceData!$AE$157),"")</f>
        <v/>
      </c>
      <c r="AF157" t="str">
        <f ca="1">IFERROR(IF(0=LEN(ReferenceData!$AF$157),"",ReferenceData!$AF$157),"")</f>
        <v/>
      </c>
      <c r="AG157" t="str">
        <f ca="1">IFERROR(IF(0=LEN(ReferenceData!$AG$157),"",ReferenceData!$AG$157),"")</f>
        <v/>
      </c>
      <c r="AH157" t="str">
        <f ca="1">IFERROR(IF(0=LEN(ReferenceData!$AH$157),"",ReferenceData!$AH$157),"")</f>
        <v/>
      </c>
      <c r="AI157" t="str">
        <f ca="1">IFERROR(IF(0=LEN(ReferenceData!$AI$157),"",ReferenceData!$AI$157),"")</f>
        <v/>
      </c>
      <c r="AJ157" t="str">
        <f ca="1">IFERROR(IF(0=LEN(ReferenceData!$AJ$157),"",ReferenceData!$AJ$157),"")</f>
        <v/>
      </c>
      <c r="AK157" t="str">
        <f ca="1">IFERROR(IF(0=LEN(ReferenceData!$AK$157),"",ReferenceData!$AK$157),"")</f>
        <v/>
      </c>
      <c r="AL157" t="str">
        <f ca="1">IFERROR(IF(0=LEN(ReferenceData!$AL$157),"",ReferenceData!$AL$157),"")</f>
        <v/>
      </c>
      <c r="AM157" t="str">
        <f ca="1">IFERROR(IF(0=LEN(ReferenceData!$AM$157),"",ReferenceData!$AM$157),"")</f>
        <v/>
      </c>
      <c r="AN157" t="str">
        <f ca="1">IFERROR(IF(0=LEN(ReferenceData!$AN$157),"",ReferenceData!$AN$157),"")</f>
        <v/>
      </c>
      <c r="AO157" t="str">
        <f ca="1">IFERROR(IF(0=LEN(ReferenceData!$AO$157),"",ReferenceData!$AO$157),"")</f>
        <v/>
      </c>
      <c r="AP157" t="str">
        <f ca="1">IFERROR(IF(0=LEN(ReferenceData!$AP$157),"",ReferenceData!$AP$157),"")</f>
        <v/>
      </c>
      <c r="AQ157" t="str">
        <f ca="1">IFERROR(IF(0=LEN(ReferenceData!$AQ$157),"",ReferenceData!$AQ$157),"")</f>
        <v/>
      </c>
      <c r="AR157" t="str">
        <f ca="1">IFERROR(IF(0=LEN(ReferenceData!$AR$157),"",ReferenceData!$AR$157),"")</f>
        <v/>
      </c>
      <c r="AS157" t="str">
        <f ca="1">IFERROR(IF(0=LEN(ReferenceData!$AS$157),"",ReferenceData!$AS$157),"")</f>
        <v/>
      </c>
      <c r="AT157" t="str">
        <f ca="1">IFERROR(IF(0=LEN(ReferenceData!$AT$157),"",ReferenceData!$AT$157),"")</f>
        <v/>
      </c>
      <c r="AU157" t="str">
        <f ca="1">IFERROR(IF(0=LEN(ReferenceData!$AU$157),"",ReferenceData!$AU$157),"")</f>
        <v/>
      </c>
      <c r="AV157" t="str">
        <f ca="1">IFERROR(IF(0=LEN(ReferenceData!$AV$157),"",ReferenceData!$AV$157),"")</f>
        <v/>
      </c>
      <c r="AW157" t="str">
        <f ca="1">IFERROR(IF(0=LEN(ReferenceData!$AW$157),"",ReferenceData!$AW$157),"")</f>
        <v/>
      </c>
      <c r="AX157" t="str">
        <f ca="1">IFERROR(IF(0=LEN(ReferenceData!$AX$157),"",ReferenceData!$AX$157),"")</f>
        <v/>
      </c>
      <c r="AY157" t="str">
        <f ca="1">IFERROR(IF(0=LEN(ReferenceData!$AY$157),"",ReferenceData!$AY$157),"")</f>
        <v/>
      </c>
      <c r="AZ157" t="str">
        <f ca="1">IFERROR(IF(0=LEN(ReferenceData!$AZ$157),"",ReferenceData!$AZ$157),"")</f>
        <v/>
      </c>
      <c r="BA157" t="str">
        <f ca="1">IFERROR(IF(0=LEN(ReferenceData!$BA$157),"",ReferenceData!$BA$157),"")</f>
        <v/>
      </c>
      <c r="BB157" t="str">
        <f ca="1">IFERROR(IF(0=LEN(ReferenceData!$BB$157),"",ReferenceData!$BB$157),"")</f>
        <v/>
      </c>
      <c r="BC157" t="str">
        <f ca="1">IFERROR(IF(0=LEN(ReferenceData!$BC$157),"",ReferenceData!$BC$157),"")</f>
        <v/>
      </c>
      <c r="BD157" t="str">
        <f ca="1">IFERROR(IF(0=LEN(ReferenceData!$BD$157),"",ReferenceData!$BD$157),"")</f>
        <v/>
      </c>
      <c r="BE157" t="str">
        <f ca="1">IFERROR(IF(0=LEN(ReferenceData!$BE$157),"",ReferenceData!$BE$157),"")</f>
        <v/>
      </c>
      <c r="BF157" t="str">
        <f ca="1">IFERROR(IF(0=LEN(ReferenceData!$BF$157),"",ReferenceData!$BF$157),"")</f>
        <v/>
      </c>
      <c r="BG157" t="str">
        <f ca="1">IFERROR(IF(0=LEN(ReferenceData!$BG$157),"",ReferenceData!$BG$157),"")</f>
        <v/>
      </c>
      <c r="BH157" t="str">
        <f ca="1">IFERROR(IF(0=LEN(ReferenceData!$BH$157),"",ReferenceData!$BH$157),"")</f>
        <v/>
      </c>
      <c r="BI157" t="str">
        <f ca="1">IFERROR(IF(0=LEN(ReferenceData!$BI$157),"",ReferenceData!$BI$157),"")</f>
        <v/>
      </c>
      <c r="BJ157" t="str">
        <f ca="1">IFERROR(IF(0=LEN(ReferenceData!$BJ$157),"",ReferenceData!$BJ$157),"")</f>
        <v/>
      </c>
      <c r="BK157" t="str">
        <f ca="1">IFERROR(IF(0=LEN(ReferenceData!$BK$157),"",ReferenceData!$BK$157),"")</f>
        <v/>
      </c>
      <c r="BL157" t="str">
        <f ca="1">IFERROR(IF(0=LEN(ReferenceData!$BL$157),"",ReferenceData!$BL$157),"")</f>
        <v/>
      </c>
      <c r="BM157" t="str">
        <f ca="1">IFERROR(IF(0=LEN(ReferenceData!$BM$157),"",ReferenceData!$BM$157),"")</f>
        <v/>
      </c>
    </row>
    <row r="158" spans="1:65">
      <c r="A158" t="str">
        <f>IFERROR(IF(0=LEN(ReferenceData!$A$158),"",ReferenceData!$A$158),"")</f>
        <v xml:space="preserve">    Huntington Bancshares Inc/OH</v>
      </c>
      <c r="B158" t="str">
        <f>IFERROR(IF(0=LEN(ReferenceData!$B$158),"",ReferenceData!$B$158),"")</f>
        <v>HBAN US Equity</v>
      </c>
      <c r="C158" t="str">
        <f>IFERROR(IF(0=LEN(ReferenceData!$C$158),"",ReferenceData!$C$158),"")</f>
        <v>BS963</v>
      </c>
      <c r="D158" t="str">
        <f>IFERROR(IF(0=LEN(ReferenceData!$D$158),"",ReferenceData!$D$158),"")</f>
        <v>BS_COMML_MTG_SERVICED_OTHERS</v>
      </c>
      <c r="E158" t="str">
        <f>IFERROR(IF(0=LEN(ReferenceData!$E$158),"",ReferenceData!$E$158),"")</f>
        <v>Dynamic</v>
      </c>
      <c r="F158" t="str">
        <f ca="1">IFERROR(IF(0=LEN(ReferenceData!$F$158),"",ReferenceData!$F$158),"")</f>
        <v/>
      </c>
      <c r="G158" t="str">
        <f ca="1">IFERROR(IF(0=LEN(ReferenceData!$G$158),"",ReferenceData!$G$158),"")</f>
        <v/>
      </c>
      <c r="H158" t="str">
        <f ca="1">IFERROR(IF(0=LEN(ReferenceData!$H$158),"",ReferenceData!$H$158),"")</f>
        <v/>
      </c>
      <c r="I158" t="str">
        <f ca="1">IFERROR(IF(0=LEN(ReferenceData!$I$158),"",ReferenceData!$I$158),"")</f>
        <v/>
      </c>
      <c r="J158" t="str">
        <f ca="1">IFERROR(IF(0=LEN(ReferenceData!$J$158),"",ReferenceData!$J$158),"")</f>
        <v/>
      </c>
      <c r="K158" t="str">
        <f ca="1">IFERROR(IF(0=LEN(ReferenceData!$K$158),"",ReferenceData!$K$158),"")</f>
        <v/>
      </c>
      <c r="L158" t="str">
        <f ca="1">IFERROR(IF(0=LEN(ReferenceData!$L$158),"",ReferenceData!$L$158),"")</f>
        <v/>
      </c>
      <c r="M158" t="str">
        <f ca="1">IFERROR(IF(0=LEN(ReferenceData!$M$158),"",ReferenceData!$M$158),"")</f>
        <v/>
      </c>
      <c r="N158" t="str">
        <f ca="1">IFERROR(IF(0=LEN(ReferenceData!$N$158),"",ReferenceData!$N$158),"")</f>
        <v/>
      </c>
      <c r="O158" t="str">
        <f ca="1">IFERROR(IF(0=LEN(ReferenceData!$O$158),"",ReferenceData!$O$158),"")</f>
        <v/>
      </c>
      <c r="P158" t="str">
        <f ca="1">IFERROR(IF(0=LEN(ReferenceData!$P$158),"",ReferenceData!$P$158),"")</f>
        <v/>
      </c>
      <c r="Q158" t="str">
        <f ca="1">IFERROR(IF(0=LEN(ReferenceData!$Q$158),"",ReferenceData!$Q$158),"")</f>
        <v/>
      </c>
      <c r="R158" t="str">
        <f ca="1">IFERROR(IF(0=LEN(ReferenceData!$R$158),"",ReferenceData!$R$158),"")</f>
        <v/>
      </c>
      <c r="S158" t="str">
        <f ca="1">IFERROR(IF(0=LEN(ReferenceData!$S$158),"",ReferenceData!$S$158),"")</f>
        <v/>
      </c>
      <c r="T158" t="str">
        <f ca="1">IFERROR(IF(0=LEN(ReferenceData!$T$158),"",ReferenceData!$T$158),"")</f>
        <v/>
      </c>
      <c r="U158" t="str">
        <f ca="1">IFERROR(IF(0=LEN(ReferenceData!$U$158),"",ReferenceData!$U$158),"")</f>
        <v/>
      </c>
      <c r="V158" t="str">
        <f ca="1">IFERROR(IF(0=LEN(ReferenceData!$V$158),"",ReferenceData!$V$158),"")</f>
        <v/>
      </c>
      <c r="W158" t="str">
        <f ca="1">IFERROR(IF(0=LEN(ReferenceData!$W$158),"",ReferenceData!$W$158),"")</f>
        <v/>
      </c>
      <c r="X158" t="str">
        <f ca="1">IFERROR(IF(0=LEN(ReferenceData!$X$158),"",ReferenceData!$X$158),"")</f>
        <v/>
      </c>
      <c r="Y158" t="str">
        <f ca="1">IFERROR(IF(0=LEN(ReferenceData!$Y$158),"",ReferenceData!$Y$158),"")</f>
        <v/>
      </c>
      <c r="Z158" t="str">
        <f ca="1">IFERROR(IF(0=LEN(ReferenceData!$Z$158),"",ReferenceData!$Z$158),"")</f>
        <v/>
      </c>
      <c r="AA158" t="str">
        <f ca="1">IFERROR(IF(0=LEN(ReferenceData!$AA$158),"",ReferenceData!$AA$158),"")</f>
        <v/>
      </c>
      <c r="AB158" t="str">
        <f ca="1">IFERROR(IF(0=LEN(ReferenceData!$AB$158),"",ReferenceData!$AB$158),"")</f>
        <v/>
      </c>
      <c r="AC158" t="str">
        <f ca="1">IFERROR(IF(0=LEN(ReferenceData!$AC$158),"",ReferenceData!$AC$158),"")</f>
        <v/>
      </c>
      <c r="AD158" t="str">
        <f ca="1">IFERROR(IF(0=LEN(ReferenceData!$AD$158),"",ReferenceData!$AD$158),"")</f>
        <v/>
      </c>
      <c r="AE158" t="str">
        <f ca="1">IFERROR(IF(0=LEN(ReferenceData!$AE$158),"",ReferenceData!$AE$158),"")</f>
        <v/>
      </c>
      <c r="AF158" t="str">
        <f ca="1">IFERROR(IF(0=LEN(ReferenceData!$AF$158),"",ReferenceData!$AF$158),"")</f>
        <v/>
      </c>
      <c r="AG158" t="str">
        <f ca="1">IFERROR(IF(0=LEN(ReferenceData!$AG$158),"",ReferenceData!$AG$158),"")</f>
        <v/>
      </c>
      <c r="AH158" t="str">
        <f ca="1">IFERROR(IF(0=LEN(ReferenceData!$AH$158),"",ReferenceData!$AH$158),"")</f>
        <v/>
      </c>
      <c r="AI158" t="str">
        <f ca="1">IFERROR(IF(0=LEN(ReferenceData!$AI$158),"",ReferenceData!$AI$158),"")</f>
        <v/>
      </c>
      <c r="AJ158" t="str">
        <f ca="1">IFERROR(IF(0=LEN(ReferenceData!$AJ$158),"",ReferenceData!$AJ$158),"")</f>
        <v/>
      </c>
      <c r="AK158" t="str">
        <f ca="1">IFERROR(IF(0=LEN(ReferenceData!$AK$158),"",ReferenceData!$AK$158),"")</f>
        <v/>
      </c>
      <c r="AL158" t="str">
        <f ca="1">IFERROR(IF(0=LEN(ReferenceData!$AL$158),"",ReferenceData!$AL$158),"")</f>
        <v/>
      </c>
      <c r="AM158" t="str">
        <f ca="1">IFERROR(IF(0=LEN(ReferenceData!$AM$158),"",ReferenceData!$AM$158),"")</f>
        <v/>
      </c>
      <c r="AN158" t="str">
        <f ca="1">IFERROR(IF(0=LEN(ReferenceData!$AN$158),"",ReferenceData!$AN$158),"")</f>
        <v/>
      </c>
      <c r="AO158" t="str">
        <f ca="1">IFERROR(IF(0=LEN(ReferenceData!$AO$158),"",ReferenceData!$AO$158),"")</f>
        <v/>
      </c>
      <c r="AP158" t="str">
        <f ca="1">IFERROR(IF(0=LEN(ReferenceData!$AP$158),"",ReferenceData!$AP$158),"")</f>
        <v/>
      </c>
      <c r="AQ158" t="str">
        <f ca="1">IFERROR(IF(0=LEN(ReferenceData!$AQ$158),"",ReferenceData!$AQ$158),"")</f>
        <v/>
      </c>
      <c r="AR158" t="str">
        <f ca="1">IFERROR(IF(0=LEN(ReferenceData!$AR$158),"",ReferenceData!$AR$158),"")</f>
        <v/>
      </c>
      <c r="AS158" t="str">
        <f ca="1">IFERROR(IF(0=LEN(ReferenceData!$AS$158),"",ReferenceData!$AS$158),"")</f>
        <v/>
      </c>
      <c r="AT158" t="str">
        <f ca="1">IFERROR(IF(0=LEN(ReferenceData!$AT$158),"",ReferenceData!$AT$158),"")</f>
        <v/>
      </c>
      <c r="AU158" t="str">
        <f ca="1">IFERROR(IF(0=LEN(ReferenceData!$AU$158),"",ReferenceData!$AU$158),"")</f>
        <v/>
      </c>
      <c r="AV158" t="str">
        <f ca="1">IFERROR(IF(0=LEN(ReferenceData!$AV$158),"",ReferenceData!$AV$158),"")</f>
        <v/>
      </c>
      <c r="AW158" t="str">
        <f ca="1">IFERROR(IF(0=LEN(ReferenceData!$AW$158),"",ReferenceData!$AW$158),"")</f>
        <v/>
      </c>
      <c r="AX158" t="str">
        <f ca="1">IFERROR(IF(0=LEN(ReferenceData!$AX$158),"",ReferenceData!$AX$158),"")</f>
        <v/>
      </c>
      <c r="AY158" t="str">
        <f ca="1">IFERROR(IF(0=LEN(ReferenceData!$AY$158),"",ReferenceData!$AY$158),"")</f>
        <v/>
      </c>
      <c r="AZ158" t="str">
        <f ca="1">IFERROR(IF(0=LEN(ReferenceData!$AZ$158),"",ReferenceData!$AZ$158),"")</f>
        <v/>
      </c>
      <c r="BA158" t="str">
        <f ca="1">IFERROR(IF(0=LEN(ReferenceData!$BA$158),"",ReferenceData!$BA$158),"")</f>
        <v/>
      </c>
      <c r="BB158" t="str">
        <f ca="1">IFERROR(IF(0=LEN(ReferenceData!$BB$158),"",ReferenceData!$BB$158),"")</f>
        <v/>
      </c>
      <c r="BC158" t="str">
        <f ca="1">IFERROR(IF(0=LEN(ReferenceData!$BC$158),"",ReferenceData!$BC$158),"")</f>
        <v/>
      </c>
      <c r="BD158" t="str">
        <f ca="1">IFERROR(IF(0=LEN(ReferenceData!$BD$158),"",ReferenceData!$BD$158),"")</f>
        <v/>
      </c>
      <c r="BE158" t="str">
        <f ca="1">IFERROR(IF(0=LEN(ReferenceData!$BE$158),"",ReferenceData!$BE$158),"")</f>
        <v/>
      </c>
      <c r="BF158" t="str">
        <f ca="1">IFERROR(IF(0=LEN(ReferenceData!$BF$158),"",ReferenceData!$BF$158),"")</f>
        <v/>
      </c>
      <c r="BG158" t="str">
        <f ca="1">IFERROR(IF(0=LEN(ReferenceData!$BG$158),"",ReferenceData!$BG$158),"")</f>
        <v/>
      </c>
      <c r="BH158" t="str">
        <f ca="1">IFERROR(IF(0=LEN(ReferenceData!$BH$158),"",ReferenceData!$BH$158),"")</f>
        <v/>
      </c>
      <c r="BI158" t="str">
        <f ca="1">IFERROR(IF(0=LEN(ReferenceData!$BI$158),"",ReferenceData!$BI$158),"")</f>
        <v/>
      </c>
      <c r="BJ158" t="str">
        <f ca="1">IFERROR(IF(0=LEN(ReferenceData!$BJ$158),"",ReferenceData!$BJ$158),"")</f>
        <v/>
      </c>
      <c r="BK158" t="str">
        <f ca="1">IFERROR(IF(0=LEN(ReferenceData!$BK$158),"",ReferenceData!$BK$158),"")</f>
        <v/>
      </c>
      <c r="BL158" t="str">
        <f ca="1">IFERROR(IF(0=LEN(ReferenceData!$BL$158),"",ReferenceData!$BL$158),"")</f>
        <v/>
      </c>
      <c r="BM158" t="str">
        <f ca="1">IFERROR(IF(0=LEN(ReferenceData!$BM$158),"",ReferenceData!$BM$158),"")</f>
        <v/>
      </c>
    </row>
    <row r="159" spans="1:65">
      <c r="A159" t="str">
        <f>IFERROR(IF(0=LEN(ReferenceData!$A$159),"",ReferenceData!$A$159),"")</f>
        <v xml:space="preserve">    KeyCorp</v>
      </c>
      <c r="B159" t="str">
        <f>IFERROR(IF(0=LEN(ReferenceData!$B$159),"",ReferenceData!$B$159),"")</f>
        <v>KEY US Equity</v>
      </c>
      <c r="C159" t="str">
        <f>IFERROR(IF(0=LEN(ReferenceData!$C$159),"",ReferenceData!$C$159),"")</f>
        <v>BS963</v>
      </c>
      <c r="D159" t="str">
        <f>IFERROR(IF(0=LEN(ReferenceData!$D$159),"",ReferenceData!$D$159),"")</f>
        <v>BS_COMML_MTG_SERVICED_OTHERS</v>
      </c>
      <c r="E159" t="str">
        <f>IFERROR(IF(0=LEN(ReferenceData!$E$159),"",ReferenceData!$E$159),"")</f>
        <v>Dynamic</v>
      </c>
      <c r="F159" t="str">
        <f ca="1">IFERROR(IF(0=LEN(ReferenceData!$F$159),"",ReferenceData!$F$159),"")</f>
        <v/>
      </c>
      <c r="G159" t="str">
        <f ca="1">IFERROR(IF(0=LEN(ReferenceData!$G$159),"",ReferenceData!$G$159),"")</f>
        <v/>
      </c>
      <c r="H159" t="str">
        <f ca="1">IFERROR(IF(0=LEN(ReferenceData!$H$159),"",ReferenceData!$H$159),"")</f>
        <v/>
      </c>
      <c r="I159" t="str">
        <f ca="1">IFERROR(IF(0=LEN(ReferenceData!$I$159),"",ReferenceData!$I$159),"")</f>
        <v/>
      </c>
      <c r="J159" t="str">
        <f ca="1">IFERROR(IF(0=LEN(ReferenceData!$J$159),"",ReferenceData!$J$159),"")</f>
        <v/>
      </c>
      <c r="K159" t="str">
        <f ca="1">IFERROR(IF(0=LEN(ReferenceData!$K$159),"",ReferenceData!$K$159),"")</f>
        <v/>
      </c>
      <c r="L159" t="str">
        <f ca="1">IFERROR(IF(0=LEN(ReferenceData!$L$159),"",ReferenceData!$L$159),"")</f>
        <v/>
      </c>
      <c r="M159" t="str">
        <f ca="1">IFERROR(IF(0=LEN(ReferenceData!$M$159),"",ReferenceData!$M$159),"")</f>
        <v/>
      </c>
      <c r="N159" t="str">
        <f ca="1">IFERROR(IF(0=LEN(ReferenceData!$N$159),"",ReferenceData!$N$159),"")</f>
        <v/>
      </c>
      <c r="O159" t="str">
        <f ca="1">IFERROR(IF(0=LEN(ReferenceData!$O$159),"",ReferenceData!$O$159),"")</f>
        <v/>
      </c>
      <c r="P159" t="str">
        <f ca="1">IFERROR(IF(0=LEN(ReferenceData!$P$159),"",ReferenceData!$P$159),"")</f>
        <v/>
      </c>
      <c r="Q159" t="str">
        <f ca="1">IFERROR(IF(0=LEN(ReferenceData!$Q$159),"",ReferenceData!$Q$159),"")</f>
        <v/>
      </c>
      <c r="R159" t="str">
        <f ca="1">IFERROR(IF(0=LEN(ReferenceData!$R$159),"",ReferenceData!$R$159),"")</f>
        <v/>
      </c>
      <c r="S159" t="str">
        <f ca="1">IFERROR(IF(0=LEN(ReferenceData!$S$159),"",ReferenceData!$S$159),"")</f>
        <v/>
      </c>
      <c r="T159" t="str">
        <f ca="1">IFERROR(IF(0=LEN(ReferenceData!$T$159),"",ReferenceData!$T$159),"")</f>
        <v/>
      </c>
      <c r="U159" t="str">
        <f ca="1">IFERROR(IF(0=LEN(ReferenceData!$U$159),"",ReferenceData!$U$159),"")</f>
        <v/>
      </c>
      <c r="V159" t="str">
        <f ca="1">IFERROR(IF(0=LEN(ReferenceData!$V$159),"",ReferenceData!$V$159),"")</f>
        <v/>
      </c>
      <c r="W159" t="str">
        <f ca="1">IFERROR(IF(0=LEN(ReferenceData!$W$159),"",ReferenceData!$W$159),"")</f>
        <v/>
      </c>
      <c r="X159" t="str">
        <f ca="1">IFERROR(IF(0=LEN(ReferenceData!$X$159),"",ReferenceData!$X$159),"")</f>
        <v/>
      </c>
      <c r="Y159" t="str">
        <f ca="1">IFERROR(IF(0=LEN(ReferenceData!$Y$159),"",ReferenceData!$Y$159),"")</f>
        <v/>
      </c>
      <c r="Z159" t="str">
        <f ca="1">IFERROR(IF(0=LEN(ReferenceData!$Z$159),"",ReferenceData!$Z$159),"")</f>
        <v/>
      </c>
      <c r="AA159" t="str">
        <f ca="1">IFERROR(IF(0=LEN(ReferenceData!$AA$159),"",ReferenceData!$AA$159),"")</f>
        <v/>
      </c>
      <c r="AB159" t="str">
        <f ca="1">IFERROR(IF(0=LEN(ReferenceData!$AB$159),"",ReferenceData!$AB$159),"")</f>
        <v/>
      </c>
      <c r="AC159" t="str">
        <f ca="1">IFERROR(IF(0=LEN(ReferenceData!$AC$159),"",ReferenceData!$AC$159),"")</f>
        <v/>
      </c>
      <c r="AD159" t="str">
        <f ca="1">IFERROR(IF(0=LEN(ReferenceData!$AD$159),"",ReferenceData!$AD$159),"")</f>
        <v/>
      </c>
      <c r="AE159" t="str">
        <f ca="1">IFERROR(IF(0=LEN(ReferenceData!$AE$159),"",ReferenceData!$AE$159),"")</f>
        <v/>
      </c>
      <c r="AF159" t="str">
        <f ca="1">IFERROR(IF(0=LEN(ReferenceData!$AF$159),"",ReferenceData!$AF$159),"")</f>
        <v/>
      </c>
      <c r="AG159" t="str">
        <f ca="1">IFERROR(IF(0=LEN(ReferenceData!$AG$159),"",ReferenceData!$AG$159),"")</f>
        <v/>
      </c>
      <c r="AH159" t="str">
        <f ca="1">IFERROR(IF(0=LEN(ReferenceData!$AH$159),"",ReferenceData!$AH$159),"")</f>
        <v/>
      </c>
      <c r="AI159" t="str">
        <f ca="1">IFERROR(IF(0=LEN(ReferenceData!$AI$159),"",ReferenceData!$AI$159),"")</f>
        <v/>
      </c>
      <c r="AJ159" t="str">
        <f ca="1">IFERROR(IF(0=LEN(ReferenceData!$AJ$159),"",ReferenceData!$AJ$159),"")</f>
        <v/>
      </c>
      <c r="AK159" t="str">
        <f ca="1">IFERROR(IF(0=LEN(ReferenceData!$AK$159),"",ReferenceData!$AK$159),"")</f>
        <v/>
      </c>
      <c r="AL159" t="str">
        <f ca="1">IFERROR(IF(0=LEN(ReferenceData!$AL$159),"",ReferenceData!$AL$159),"")</f>
        <v/>
      </c>
      <c r="AM159" t="str">
        <f ca="1">IFERROR(IF(0=LEN(ReferenceData!$AM$159),"",ReferenceData!$AM$159),"")</f>
        <v/>
      </c>
      <c r="AN159" t="str">
        <f ca="1">IFERROR(IF(0=LEN(ReferenceData!$AN$159),"",ReferenceData!$AN$159),"")</f>
        <v/>
      </c>
      <c r="AO159" t="str">
        <f ca="1">IFERROR(IF(0=LEN(ReferenceData!$AO$159),"",ReferenceData!$AO$159),"")</f>
        <v/>
      </c>
      <c r="AP159" t="str">
        <f ca="1">IFERROR(IF(0=LEN(ReferenceData!$AP$159),"",ReferenceData!$AP$159),"")</f>
        <v/>
      </c>
      <c r="AQ159" t="str">
        <f ca="1">IFERROR(IF(0=LEN(ReferenceData!$AQ$159),"",ReferenceData!$AQ$159),"")</f>
        <v/>
      </c>
      <c r="AR159" t="str">
        <f ca="1">IFERROR(IF(0=LEN(ReferenceData!$AR$159),"",ReferenceData!$AR$159),"")</f>
        <v/>
      </c>
      <c r="AS159" t="str">
        <f ca="1">IFERROR(IF(0=LEN(ReferenceData!$AS$159),"",ReferenceData!$AS$159),"")</f>
        <v/>
      </c>
      <c r="AT159" t="str">
        <f ca="1">IFERROR(IF(0=LEN(ReferenceData!$AT$159),"",ReferenceData!$AT$159),"")</f>
        <v/>
      </c>
      <c r="AU159" t="str">
        <f ca="1">IFERROR(IF(0=LEN(ReferenceData!$AU$159),"",ReferenceData!$AU$159),"")</f>
        <v/>
      </c>
      <c r="AV159" t="str">
        <f ca="1">IFERROR(IF(0=LEN(ReferenceData!$AV$159),"",ReferenceData!$AV$159),"")</f>
        <v/>
      </c>
      <c r="AW159" t="str">
        <f ca="1">IFERROR(IF(0=LEN(ReferenceData!$AW$159),"",ReferenceData!$AW$159),"")</f>
        <v/>
      </c>
      <c r="AX159" t="str">
        <f ca="1">IFERROR(IF(0=LEN(ReferenceData!$AX$159),"",ReferenceData!$AX$159),"")</f>
        <v/>
      </c>
      <c r="AY159" t="str">
        <f ca="1">IFERROR(IF(0=LEN(ReferenceData!$AY$159),"",ReferenceData!$AY$159),"")</f>
        <v/>
      </c>
      <c r="AZ159" t="str">
        <f ca="1">IFERROR(IF(0=LEN(ReferenceData!$AZ$159),"",ReferenceData!$AZ$159),"")</f>
        <v/>
      </c>
      <c r="BA159" t="str">
        <f ca="1">IFERROR(IF(0=LEN(ReferenceData!$BA$159),"",ReferenceData!$BA$159),"")</f>
        <v/>
      </c>
      <c r="BB159" t="str">
        <f ca="1">IFERROR(IF(0=LEN(ReferenceData!$BB$159),"",ReferenceData!$BB$159),"")</f>
        <v/>
      </c>
      <c r="BC159" t="str">
        <f ca="1">IFERROR(IF(0=LEN(ReferenceData!$BC$159),"",ReferenceData!$BC$159),"")</f>
        <v/>
      </c>
      <c r="BD159" t="str">
        <f ca="1">IFERROR(IF(0=LEN(ReferenceData!$BD$159),"",ReferenceData!$BD$159),"")</f>
        <v/>
      </c>
      <c r="BE159" t="str">
        <f ca="1">IFERROR(IF(0=LEN(ReferenceData!$BE$159),"",ReferenceData!$BE$159),"")</f>
        <v/>
      </c>
      <c r="BF159" t="str">
        <f ca="1">IFERROR(IF(0=LEN(ReferenceData!$BF$159),"",ReferenceData!$BF$159),"")</f>
        <v/>
      </c>
      <c r="BG159" t="str">
        <f ca="1">IFERROR(IF(0=LEN(ReferenceData!$BG$159),"",ReferenceData!$BG$159),"")</f>
        <v/>
      </c>
      <c r="BH159" t="str">
        <f ca="1">IFERROR(IF(0=LEN(ReferenceData!$BH$159),"",ReferenceData!$BH$159),"")</f>
        <v/>
      </c>
      <c r="BI159" t="str">
        <f ca="1">IFERROR(IF(0=LEN(ReferenceData!$BI$159),"",ReferenceData!$BI$159),"")</f>
        <v/>
      </c>
      <c r="BJ159" t="str">
        <f ca="1">IFERROR(IF(0=LEN(ReferenceData!$BJ$159),"",ReferenceData!$BJ$159),"")</f>
        <v/>
      </c>
      <c r="BK159" t="str">
        <f ca="1">IFERROR(IF(0=LEN(ReferenceData!$BK$159),"",ReferenceData!$BK$159),"")</f>
        <v/>
      </c>
      <c r="BL159" t="str">
        <f ca="1">IFERROR(IF(0=LEN(ReferenceData!$BL$159),"",ReferenceData!$BL$159),"")</f>
        <v/>
      </c>
      <c r="BM159" t="str">
        <f ca="1">IFERROR(IF(0=LEN(ReferenceData!$BM$159),"",ReferenceData!$BM$159),"")</f>
        <v/>
      </c>
    </row>
    <row r="160" spans="1:65">
      <c r="A160" t="str">
        <f>IFERROR(IF(0=LEN(ReferenceData!$A$160),"",ReferenceData!$A$160),"")</f>
        <v xml:space="preserve">    M&amp;T Bank Corp</v>
      </c>
      <c r="B160" t="str">
        <f>IFERROR(IF(0=LEN(ReferenceData!$B$160),"",ReferenceData!$B$160),"")</f>
        <v>MTB US Equity</v>
      </c>
      <c r="C160" t="str">
        <f>IFERROR(IF(0=LEN(ReferenceData!$C$160),"",ReferenceData!$C$160),"")</f>
        <v>BS963</v>
      </c>
      <c r="D160" t="str">
        <f>IFERROR(IF(0=LEN(ReferenceData!$D$160),"",ReferenceData!$D$160),"")</f>
        <v>BS_COMML_MTG_SERVICED_OTHERS</v>
      </c>
      <c r="E160" t="str">
        <f>IFERROR(IF(0=LEN(ReferenceData!$E$160),"",ReferenceData!$E$160),"")</f>
        <v>Dynamic</v>
      </c>
      <c r="F160">
        <f ca="1">IFERROR(IF(0=LEN(ReferenceData!$F$160),"",ReferenceData!$F$160),"")</f>
        <v>31537</v>
      </c>
      <c r="G160">
        <f ca="1">IFERROR(IF(0=LEN(ReferenceData!$G$160),"",ReferenceData!$G$160),"")</f>
        <v>29837</v>
      </c>
      <c r="H160">
        <f ca="1">IFERROR(IF(0=LEN(ReferenceData!$H$160),"",ReferenceData!$H$160),"")</f>
        <v>29468</v>
      </c>
      <c r="I160">
        <f ca="1">IFERROR(IF(0=LEN(ReferenceData!$I$160),"",ReferenceData!$I$160),"")</f>
        <v>28677</v>
      </c>
      <c r="J160">
        <f ca="1">IFERROR(IF(0=LEN(ReferenceData!$J$160),"",ReferenceData!$J$160),"")</f>
        <v>28030</v>
      </c>
      <c r="K160">
        <f ca="1">IFERROR(IF(0=LEN(ReferenceData!$K$160),"",ReferenceData!$K$160),"")</f>
        <v>27683.135999999999</v>
      </c>
      <c r="L160">
        <f ca="1">IFERROR(IF(0=LEN(ReferenceData!$L$160),"",ReferenceData!$L$160),"")</f>
        <v>26900</v>
      </c>
      <c r="M160">
        <f ca="1">IFERROR(IF(0=LEN(ReferenceData!$M$160),"",ReferenceData!$M$160),"")</f>
        <v>26200</v>
      </c>
      <c r="N160">
        <f ca="1">IFERROR(IF(0=LEN(ReferenceData!$N$160),"",ReferenceData!$N$160),"")</f>
        <v>26000</v>
      </c>
      <c r="O160">
        <f ca="1">IFERROR(IF(0=LEN(ReferenceData!$O$160),"",ReferenceData!$O$160),"")</f>
        <v>25100</v>
      </c>
      <c r="P160">
        <f ca="1">IFERROR(IF(0=LEN(ReferenceData!$P$160),"",ReferenceData!$P$160),"")</f>
        <v>24400</v>
      </c>
      <c r="Q160">
        <f ca="1">IFERROR(IF(0=LEN(ReferenceData!$Q$160),"",ReferenceData!$Q$160),"")</f>
        <v>22600</v>
      </c>
      <c r="R160">
        <f ca="1">IFERROR(IF(0=LEN(ReferenceData!$R$160),"",ReferenceData!$R$160),"")</f>
        <v>23700</v>
      </c>
      <c r="S160">
        <f ca="1">IFERROR(IF(0=LEN(ReferenceData!$S$160),"",ReferenceData!$S$160),"")</f>
        <v>73200</v>
      </c>
      <c r="T160">
        <f ca="1">IFERROR(IF(0=LEN(ReferenceData!$T$160),"",ReferenceData!$T$160),"")</f>
        <v>72600</v>
      </c>
      <c r="U160">
        <f ca="1">IFERROR(IF(0=LEN(ReferenceData!$U$160),"",ReferenceData!$U$160),"")</f>
        <v>23500</v>
      </c>
      <c r="V160">
        <f ca="1">IFERROR(IF(0=LEN(ReferenceData!$V$160),"",ReferenceData!$V$160),"")</f>
        <v>22200</v>
      </c>
      <c r="W160">
        <f ca="1">IFERROR(IF(0=LEN(ReferenceData!$W$160),"",ReferenceData!$W$160),"")</f>
        <v>336</v>
      </c>
      <c r="X160">
        <f ca="1">IFERROR(IF(0=LEN(ReferenceData!$X$160),"",ReferenceData!$X$160),"")</f>
        <v>64700</v>
      </c>
      <c r="Y160">
        <f ca="1">IFERROR(IF(0=LEN(ReferenceData!$Y$160),"",ReferenceData!$Y$160),"")</f>
        <v>61937</v>
      </c>
      <c r="Z160">
        <f ca="1">IFERROR(IF(0=LEN(ReferenceData!$Z$160),"",ReferenceData!$Z$160),"")</f>
        <v>21000</v>
      </c>
      <c r="AA160">
        <f ca="1">IFERROR(IF(0=LEN(ReferenceData!$AA$160),"",ReferenceData!$AA$160),"")</f>
        <v>65133</v>
      </c>
      <c r="AB160">
        <f ca="1">IFERROR(IF(0=LEN(ReferenceData!$AB$160),"",ReferenceData!$AB$160),"")</f>
        <v>68700</v>
      </c>
      <c r="AC160">
        <f ca="1">IFERROR(IF(0=LEN(ReferenceData!$AC$160),"",ReferenceData!$AC$160),"")</f>
        <v>54928</v>
      </c>
      <c r="AD160">
        <f ca="1">IFERROR(IF(0=LEN(ReferenceData!$AD$160),"",ReferenceData!$AD$160),"")</f>
        <v>18200</v>
      </c>
      <c r="AE160">
        <f ca="1">IFERROR(IF(0=LEN(ReferenceData!$AE$160),"",ReferenceData!$AE$160),"")</f>
        <v>60328</v>
      </c>
      <c r="AF160">
        <f ca="1">IFERROR(IF(0=LEN(ReferenceData!$AF$160),"",ReferenceData!$AF$160),"")</f>
        <v>53528</v>
      </c>
      <c r="AG160">
        <f ca="1">IFERROR(IF(0=LEN(ReferenceData!$AG$160),"",ReferenceData!$AG$160),"")</f>
        <v>55830</v>
      </c>
      <c r="AH160">
        <f ca="1">IFERROR(IF(0=LEN(ReferenceData!$AH$160),"",ReferenceData!$AH$160),"")</f>
        <v>16200</v>
      </c>
      <c r="AI160">
        <f ca="1">IFERROR(IF(0=LEN(ReferenceData!$AI$160),"",ReferenceData!$AI$160),"")</f>
        <v>59326</v>
      </c>
      <c r="AJ160">
        <f ca="1">IFERROR(IF(0=LEN(ReferenceData!$AJ$160),"",ReferenceData!$AJ$160),"")</f>
        <v>49925</v>
      </c>
      <c r="AK160">
        <f ca="1">IFERROR(IF(0=LEN(ReferenceData!$AK$160),"",ReferenceData!$AK$160),"")</f>
        <v>40823</v>
      </c>
      <c r="AL160">
        <f ca="1">IFERROR(IF(0=LEN(ReferenceData!$AL$160),"",ReferenceData!$AL$160),"")</f>
        <v>11800</v>
      </c>
      <c r="AM160">
        <f ca="1">IFERROR(IF(0=LEN(ReferenceData!$AM$160),"",ReferenceData!$AM$160),"")</f>
        <v>32125</v>
      </c>
      <c r="AN160">
        <f ca="1">IFERROR(IF(0=LEN(ReferenceData!$AN$160),"",ReferenceData!$AN$160),"")</f>
        <v>34625</v>
      </c>
      <c r="AO160">
        <f ca="1">IFERROR(IF(0=LEN(ReferenceData!$AO$160),"",ReferenceData!$AO$160),"")</f>
        <v>59300</v>
      </c>
      <c r="AP160">
        <f ca="1">IFERROR(IF(0=LEN(ReferenceData!$AP$160),"",ReferenceData!$AP$160),"")</f>
        <v>11000</v>
      </c>
      <c r="AQ160">
        <f ca="1">IFERROR(IF(0=LEN(ReferenceData!$AQ$160),"",ReferenceData!$AQ$160),"")</f>
        <v>40226</v>
      </c>
      <c r="AR160">
        <f ca="1">IFERROR(IF(0=LEN(ReferenceData!$AR$160),"",ReferenceData!$AR$160),"")</f>
        <v>42330</v>
      </c>
      <c r="AS160">
        <f ca="1">IFERROR(IF(0=LEN(ReferenceData!$AS$160),"",ReferenceData!$AS$160),"")</f>
        <v>40435</v>
      </c>
      <c r="AT160">
        <f ca="1">IFERROR(IF(0=LEN(ReferenceData!$AT$160),"",ReferenceData!$AT$160),"")</f>
        <v>14800</v>
      </c>
      <c r="AU160">
        <f ca="1">IFERROR(IF(0=LEN(ReferenceData!$AU$160),"",ReferenceData!$AU$160),"")</f>
        <v>14200</v>
      </c>
      <c r="AV160">
        <f ca="1">IFERROR(IF(0=LEN(ReferenceData!$AV$160),"",ReferenceData!$AV$160),"")</f>
        <v>14100</v>
      </c>
      <c r="AW160">
        <f ca="1">IFERROR(IF(0=LEN(ReferenceData!$AW$160),"",ReferenceData!$AW$160),"")</f>
        <v>46500</v>
      </c>
      <c r="AX160">
        <f ca="1">IFERROR(IF(0=LEN(ReferenceData!$AX$160),"",ReferenceData!$AX$160),"")</f>
        <v>73500</v>
      </c>
      <c r="AY160">
        <f ca="1">IFERROR(IF(0=LEN(ReferenceData!$AY$160),"",ReferenceData!$AY$160),"")</f>
        <v>14500</v>
      </c>
      <c r="AZ160">
        <f ca="1">IFERROR(IF(0=LEN(ReferenceData!$AZ$160),"",ReferenceData!$AZ$160),"")</f>
        <v>14800</v>
      </c>
      <c r="BA160">
        <f ca="1">IFERROR(IF(0=LEN(ReferenceData!$BA$160),"",ReferenceData!$BA$160),"")</f>
        <v>14600</v>
      </c>
      <c r="BB160">
        <f ca="1">IFERROR(IF(0=LEN(ReferenceData!$BB$160),"",ReferenceData!$BB$160),"")</f>
        <v>14400</v>
      </c>
      <c r="BC160">
        <f ca="1">IFERROR(IF(0=LEN(ReferenceData!$BC$160),"",ReferenceData!$BC$160),"")</f>
        <v>14100</v>
      </c>
      <c r="BD160">
        <f ca="1">IFERROR(IF(0=LEN(ReferenceData!$BD$160),"",ReferenceData!$BD$160),"")</f>
        <v>14000</v>
      </c>
      <c r="BE160">
        <f ca="1">IFERROR(IF(0=LEN(ReferenceData!$BE$160),"",ReferenceData!$BE$160),"")</f>
        <v>13900</v>
      </c>
      <c r="BF160">
        <f ca="1">IFERROR(IF(0=LEN(ReferenceData!$BF$160),"",ReferenceData!$BF$160),"")</f>
        <v>13400</v>
      </c>
      <c r="BG160">
        <f ca="1">IFERROR(IF(0=LEN(ReferenceData!$BG$160),"",ReferenceData!$BG$160),"")</f>
        <v>13500</v>
      </c>
      <c r="BH160">
        <f ca="1">IFERROR(IF(0=LEN(ReferenceData!$BH$160),"",ReferenceData!$BH$160),"")</f>
        <v>13300</v>
      </c>
      <c r="BI160">
        <f ca="1">IFERROR(IF(0=LEN(ReferenceData!$BI$160),"",ReferenceData!$BI$160),"")</f>
        <v>13400</v>
      </c>
      <c r="BJ160">
        <f ca="1">IFERROR(IF(0=LEN(ReferenceData!$BJ$160),"",ReferenceData!$BJ$160),"")</f>
        <v>13300</v>
      </c>
      <c r="BK160">
        <f ca="1">IFERROR(IF(0=LEN(ReferenceData!$BK$160),"",ReferenceData!$BK$160),"")</f>
        <v>13100</v>
      </c>
      <c r="BL160">
        <f ca="1">IFERROR(IF(0=LEN(ReferenceData!$BL$160),"",ReferenceData!$BL$160),"")</f>
        <v>13200</v>
      </c>
      <c r="BM160" t="str">
        <f ca="1">IFERROR(IF(0=LEN(ReferenceData!$BM$160),"",ReferenceData!$BM$160),"")</f>
        <v/>
      </c>
    </row>
    <row r="161" spans="1:65">
      <c r="A161" t="str">
        <f>IFERROR(IF(0=LEN(ReferenceData!$A$161),"",ReferenceData!$A$161),"")</f>
        <v xml:space="preserve">    PNC Financial Services Group I</v>
      </c>
      <c r="B161" t="str">
        <f>IFERROR(IF(0=LEN(ReferenceData!$B$161),"",ReferenceData!$B$161),"")</f>
        <v>PNC US Equity</v>
      </c>
      <c r="C161" t="str">
        <f>IFERROR(IF(0=LEN(ReferenceData!$C$161),"",ReferenceData!$C$161),"")</f>
        <v>BS963</v>
      </c>
      <c r="D161" t="str">
        <f>IFERROR(IF(0=LEN(ReferenceData!$D$161),"",ReferenceData!$D$161),"")</f>
        <v>BS_COMML_MTG_SERVICED_OTHERS</v>
      </c>
      <c r="E161" t="str">
        <f>IFERROR(IF(0=LEN(ReferenceData!$E$161),"",ReferenceData!$E$161),"")</f>
        <v>Dynamic</v>
      </c>
      <c r="F161" t="str">
        <f ca="1">IFERROR(IF(0=LEN(ReferenceData!$F$161),"",ReferenceData!$F$161),"")</f>
        <v/>
      </c>
      <c r="G161" t="str">
        <f ca="1">IFERROR(IF(0=LEN(ReferenceData!$G$161),"",ReferenceData!$G$161),"")</f>
        <v/>
      </c>
      <c r="H161" t="str">
        <f ca="1">IFERROR(IF(0=LEN(ReferenceData!$H$161),"",ReferenceData!$H$161),"")</f>
        <v/>
      </c>
      <c r="I161" t="str">
        <f ca="1">IFERROR(IF(0=LEN(ReferenceData!$I$161),"",ReferenceData!$I$161),"")</f>
        <v/>
      </c>
      <c r="J161" t="str">
        <f ca="1">IFERROR(IF(0=LEN(ReferenceData!$J$161),"",ReferenceData!$J$161),"")</f>
        <v/>
      </c>
      <c r="K161" t="str">
        <f ca="1">IFERROR(IF(0=LEN(ReferenceData!$K$161),"",ReferenceData!$K$161),"")</f>
        <v/>
      </c>
      <c r="L161" t="str">
        <f ca="1">IFERROR(IF(0=LEN(ReferenceData!$L$161),"",ReferenceData!$L$161),"")</f>
        <v/>
      </c>
      <c r="M161" t="str">
        <f ca="1">IFERROR(IF(0=LEN(ReferenceData!$M$161),"",ReferenceData!$M$161),"")</f>
        <v/>
      </c>
      <c r="N161" t="str">
        <f ca="1">IFERROR(IF(0=LEN(ReferenceData!$N$161),"",ReferenceData!$N$161),"")</f>
        <v/>
      </c>
      <c r="O161" t="str">
        <f ca="1">IFERROR(IF(0=LEN(ReferenceData!$O$161),"",ReferenceData!$O$161),"")</f>
        <v/>
      </c>
      <c r="P161" t="str">
        <f ca="1">IFERROR(IF(0=LEN(ReferenceData!$P$161),"",ReferenceData!$P$161),"")</f>
        <v/>
      </c>
      <c r="Q161" t="str">
        <f ca="1">IFERROR(IF(0=LEN(ReferenceData!$Q$161),"",ReferenceData!$Q$161),"")</f>
        <v/>
      </c>
      <c r="R161" t="str">
        <f ca="1">IFERROR(IF(0=LEN(ReferenceData!$R$161),"",ReferenceData!$R$161),"")</f>
        <v/>
      </c>
      <c r="S161" t="str">
        <f ca="1">IFERROR(IF(0=LEN(ReferenceData!$S$161),"",ReferenceData!$S$161),"")</f>
        <v/>
      </c>
      <c r="T161" t="str">
        <f ca="1">IFERROR(IF(0=LEN(ReferenceData!$T$161),"",ReferenceData!$T$161),"")</f>
        <v/>
      </c>
      <c r="U161" t="str">
        <f ca="1">IFERROR(IF(0=LEN(ReferenceData!$U$161),"",ReferenceData!$U$161),"")</f>
        <v/>
      </c>
      <c r="V161" t="str">
        <f ca="1">IFERROR(IF(0=LEN(ReferenceData!$V$161),"",ReferenceData!$V$161),"")</f>
        <v/>
      </c>
      <c r="W161" t="str">
        <f ca="1">IFERROR(IF(0=LEN(ReferenceData!$W$161),"",ReferenceData!$W$161),"")</f>
        <v/>
      </c>
      <c r="X161" t="str">
        <f ca="1">IFERROR(IF(0=LEN(ReferenceData!$X$161),"",ReferenceData!$X$161),"")</f>
        <v/>
      </c>
      <c r="Y161" t="str">
        <f ca="1">IFERROR(IF(0=LEN(ReferenceData!$Y$161),"",ReferenceData!$Y$161),"")</f>
        <v/>
      </c>
      <c r="Z161" t="str">
        <f ca="1">IFERROR(IF(0=LEN(ReferenceData!$Z$161),"",ReferenceData!$Z$161),"")</f>
        <v/>
      </c>
      <c r="AA161" t="str">
        <f ca="1">IFERROR(IF(0=LEN(ReferenceData!$AA$161),"",ReferenceData!$AA$161),"")</f>
        <v/>
      </c>
      <c r="AB161" t="str">
        <f ca="1">IFERROR(IF(0=LEN(ReferenceData!$AB$161),"",ReferenceData!$AB$161),"")</f>
        <v/>
      </c>
      <c r="AC161" t="str">
        <f ca="1">IFERROR(IF(0=LEN(ReferenceData!$AC$161),"",ReferenceData!$AC$161),"")</f>
        <v/>
      </c>
      <c r="AD161" t="str">
        <f ca="1">IFERROR(IF(0=LEN(ReferenceData!$AD$161),"",ReferenceData!$AD$161),"")</f>
        <v/>
      </c>
      <c r="AE161" t="str">
        <f ca="1">IFERROR(IF(0=LEN(ReferenceData!$AE$161),"",ReferenceData!$AE$161),"")</f>
        <v/>
      </c>
      <c r="AF161" t="str">
        <f ca="1">IFERROR(IF(0=LEN(ReferenceData!$AF$161),"",ReferenceData!$AF$161),"")</f>
        <v/>
      </c>
      <c r="AG161" t="str">
        <f ca="1">IFERROR(IF(0=LEN(ReferenceData!$AG$161),"",ReferenceData!$AG$161),"")</f>
        <v/>
      </c>
      <c r="AH161" t="str">
        <f ca="1">IFERROR(IF(0=LEN(ReferenceData!$AH$161),"",ReferenceData!$AH$161),"")</f>
        <v/>
      </c>
      <c r="AI161" t="str">
        <f ca="1">IFERROR(IF(0=LEN(ReferenceData!$AI$161),"",ReferenceData!$AI$161),"")</f>
        <v/>
      </c>
      <c r="AJ161" t="str">
        <f ca="1">IFERROR(IF(0=LEN(ReferenceData!$AJ$161),"",ReferenceData!$AJ$161),"")</f>
        <v/>
      </c>
      <c r="AK161" t="str">
        <f ca="1">IFERROR(IF(0=LEN(ReferenceData!$AK$161),"",ReferenceData!$AK$161),"")</f>
        <v/>
      </c>
      <c r="AL161" t="str">
        <f ca="1">IFERROR(IF(0=LEN(ReferenceData!$AL$161),"",ReferenceData!$AL$161),"")</f>
        <v/>
      </c>
      <c r="AM161" t="str">
        <f ca="1">IFERROR(IF(0=LEN(ReferenceData!$AM$161),"",ReferenceData!$AM$161),"")</f>
        <v/>
      </c>
      <c r="AN161" t="str">
        <f ca="1">IFERROR(IF(0=LEN(ReferenceData!$AN$161),"",ReferenceData!$AN$161),"")</f>
        <v/>
      </c>
      <c r="AO161" t="str">
        <f ca="1">IFERROR(IF(0=LEN(ReferenceData!$AO$161),"",ReferenceData!$AO$161),"")</f>
        <v/>
      </c>
      <c r="AP161" t="str">
        <f ca="1">IFERROR(IF(0=LEN(ReferenceData!$AP$161),"",ReferenceData!$AP$161),"")</f>
        <v/>
      </c>
      <c r="AQ161" t="str">
        <f ca="1">IFERROR(IF(0=LEN(ReferenceData!$AQ$161),"",ReferenceData!$AQ$161),"")</f>
        <v/>
      </c>
      <c r="AR161" t="str">
        <f ca="1">IFERROR(IF(0=LEN(ReferenceData!$AR$161),"",ReferenceData!$AR$161),"")</f>
        <v/>
      </c>
      <c r="AS161" t="str">
        <f ca="1">IFERROR(IF(0=LEN(ReferenceData!$AS$161),"",ReferenceData!$AS$161),"")</f>
        <v/>
      </c>
      <c r="AT161" t="str">
        <f ca="1">IFERROR(IF(0=LEN(ReferenceData!$AT$161),"",ReferenceData!$AT$161),"")</f>
        <v/>
      </c>
      <c r="AU161" t="str">
        <f ca="1">IFERROR(IF(0=LEN(ReferenceData!$AU$161),"",ReferenceData!$AU$161),"")</f>
        <v/>
      </c>
      <c r="AV161" t="str">
        <f ca="1">IFERROR(IF(0=LEN(ReferenceData!$AV$161),"",ReferenceData!$AV$161),"")</f>
        <v/>
      </c>
      <c r="AW161" t="str">
        <f ca="1">IFERROR(IF(0=LEN(ReferenceData!$AW$161),"",ReferenceData!$AW$161),"")</f>
        <v/>
      </c>
      <c r="AX161" t="str">
        <f ca="1">IFERROR(IF(0=LEN(ReferenceData!$AX$161),"",ReferenceData!$AX$161),"")</f>
        <v/>
      </c>
      <c r="AY161" t="str">
        <f ca="1">IFERROR(IF(0=LEN(ReferenceData!$AY$161),"",ReferenceData!$AY$161),"")</f>
        <v/>
      </c>
      <c r="AZ161" t="str">
        <f ca="1">IFERROR(IF(0=LEN(ReferenceData!$AZ$161),"",ReferenceData!$AZ$161),"")</f>
        <v/>
      </c>
      <c r="BA161" t="str">
        <f ca="1">IFERROR(IF(0=LEN(ReferenceData!$BA$161),"",ReferenceData!$BA$161),"")</f>
        <v/>
      </c>
      <c r="BB161" t="str">
        <f ca="1">IFERROR(IF(0=LEN(ReferenceData!$BB$161),"",ReferenceData!$BB$161),"")</f>
        <v/>
      </c>
      <c r="BC161" t="str">
        <f ca="1">IFERROR(IF(0=LEN(ReferenceData!$BC$161),"",ReferenceData!$BC$161),"")</f>
        <v/>
      </c>
      <c r="BD161" t="str">
        <f ca="1">IFERROR(IF(0=LEN(ReferenceData!$BD$161),"",ReferenceData!$BD$161),"")</f>
        <v/>
      </c>
      <c r="BE161" t="str">
        <f ca="1">IFERROR(IF(0=LEN(ReferenceData!$BE$161),"",ReferenceData!$BE$161),"")</f>
        <v/>
      </c>
      <c r="BF161" t="str">
        <f ca="1">IFERROR(IF(0=LEN(ReferenceData!$BF$161),"",ReferenceData!$BF$161),"")</f>
        <v/>
      </c>
      <c r="BG161" t="str">
        <f ca="1">IFERROR(IF(0=LEN(ReferenceData!$BG$161),"",ReferenceData!$BG$161),"")</f>
        <v/>
      </c>
      <c r="BH161" t="str">
        <f ca="1">IFERROR(IF(0=LEN(ReferenceData!$BH$161),"",ReferenceData!$BH$161),"")</f>
        <v/>
      </c>
      <c r="BI161" t="str">
        <f ca="1">IFERROR(IF(0=LEN(ReferenceData!$BI$161),"",ReferenceData!$BI$161),"")</f>
        <v/>
      </c>
      <c r="BJ161" t="str">
        <f ca="1">IFERROR(IF(0=LEN(ReferenceData!$BJ$161),"",ReferenceData!$BJ$161),"")</f>
        <v/>
      </c>
      <c r="BK161" t="str">
        <f ca="1">IFERROR(IF(0=LEN(ReferenceData!$BK$161),"",ReferenceData!$BK$161),"")</f>
        <v/>
      </c>
      <c r="BL161" t="str">
        <f ca="1">IFERROR(IF(0=LEN(ReferenceData!$BL$161),"",ReferenceData!$BL$161),"")</f>
        <v/>
      </c>
      <c r="BM161" t="str">
        <f ca="1">IFERROR(IF(0=LEN(ReferenceData!$BM$161),"",ReferenceData!$BM$161),"")</f>
        <v/>
      </c>
    </row>
    <row r="162" spans="1:65">
      <c r="A162" t="str">
        <f>IFERROR(IF(0=LEN(ReferenceData!$A$162),"",ReferenceData!$A$162),"")</f>
        <v xml:space="preserve">    Regions Financial Corp</v>
      </c>
      <c r="B162" t="str">
        <f>IFERROR(IF(0=LEN(ReferenceData!$B$162),"",ReferenceData!$B$162),"")</f>
        <v>RF US Equity</v>
      </c>
      <c r="C162" t="str">
        <f>IFERROR(IF(0=LEN(ReferenceData!$C$162),"",ReferenceData!$C$162),"")</f>
        <v>BS963</v>
      </c>
      <c r="D162" t="str">
        <f>IFERROR(IF(0=LEN(ReferenceData!$D$162),"",ReferenceData!$D$162),"")</f>
        <v>BS_COMML_MTG_SERVICED_OTHERS</v>
      </c>
      <c r="E162" t="str">
        <f>IFERROR(IF(0=LEN(ReferenceData!$E$162),"",ReferenceData!$E$162),"")</f>
        <v>Dynamic</v>
      </c>
      <c r="F162" t="str">
        <f ca="1">IFERROR(IF(0=LEN(ReferenceData!$F$162),"",ReferenceData!$F$162),"")</f>
        <v/>
      </c>
      <c r="G162" t="str">
        <f ca="1">IFERROR(IF(0=LEN(ReferenceData!$G$162),"",ReferenceData!$G$162),"")</f>
        <v/>
      </c>
      <c r="H162" t="str">
        <f ca="1">IFERROR(IF(0=LEN(ReferenceData!$H$162),"",ReferenceData!$H$162),"")</f>
        <v/>
      </c>
      <c r="I162" t="str">
        <f ca="1">IFERROR(IF(0=LEN(ReferenceData!$I$162),"",ReferenceData!$I$162),"")</f>
        <v/>
      </c>
      <c r="J162" t="str">
        <f ca="1">IFERROR(IF(0=LEN(ReferenceData!$J$162),"",ReferenceData!$J$162),"")</f>
        <v/>
      </c>
      <c r="K162" t="str">
        <f ca="1">IFERROR(IF(0=LEN(ReferenceData!$K$162),"",ReferenceData!$K$162),"")</f>
        <v/>
      </c>
      <c r="L162" t="str">
        <f ca="1">IFERROR(IF(0=LEN(ReferenceData!$L$162),"",ReferenceData!$L$162),"")</f>
        <v/>
      </c>
      <c r="M162" t="str">
        <f ca="1">IFERROR(IF(0=LEN(ReferenceData!$M$162),"",ReferenceData!$M$162),"")</f>
        <v/>
      </c>
      <c r="N162" t="str">
        <f ca="1">IFERROR(IF(0=LEN(ReferenceData!$N$162),"",ReferenceData!$N$162),"")</f>
        <v/>
      </c>
      <c r="O162" t="str">
        <f ca="1">IFERROR(IF(0=LEN(ReferenceData!$O$162),"",ReferenceData!$O$162),"")</f>
        <v/>
      </c>
      <c r="P162" t="str">
        <f ca="1">IFERROR(IF(0=LEN(ReferenceData!$P$162),"",ReferenceData!$P$162),"")</f>
        <v/>
      </c>
      <c r="Q162" t="str">
        <f ca="1">IFERROR(IF(0=LEN(ReferenceData!$Q$162),"",ReferenceData!$Q$162),"")</f>
        <v/>
      </c>
      <c r="R162" t="str">
        <f ca="1">IFERROR(IF(0=LEN(ReferenceData!$R$162),"",ReferenceData!$R$162),"")</f>
        <v/>
      </c>
      <c r="S162" t="str">
        <f ca="1">IFERROR(IF(0=LEN(ReferenceData!$S$162),"",ReferenceData!$S$162),"")</f>
        <v/>
      </c>
      <c r="T162" t="str">
        <f ca="1">IFERROR(IF(0=LEN(ReferenceData!$T$162),"",ReferenceData!$T$162),"")</f>
        <v/>
      </c>
      <c r="U162" t="str">
        <f ca="1">IFERROR(IF(0=LEN(ReferenceData!$U$162),"",ReferenceData!$U$162),"")</f>
        <v/>
      </c>
      <c r="V162" t="str">
        <f ca="1">IFERROR(IF(0=LEN(ReferenceData!$V$162),"",ReferenceData!$V$162),"")</f>
        <v/>
      </c>
      <c r="W162" t="str">
        <f ca="1">IFERROR(IF(0=LEN(ReferenceData!$W$162),"",ReferenceData!$W$162),"")</f>
        <v/>
      </c>
      <c r="X162" t="str">
        <f ca="1">IFERROR(IF(0=LEN(ReferenceData!$X$162),"",ReferenceData!$X$162),"")</f>
        <v/>
      </c>
      <c r="Y162" t="str">
        <f ca="1">IFERROR(IF(0=LEN(ReferenceData!$Y$162),"",ReferenceData!$Y$162),"")</f>
        <v/>
      </c>
      <c r="Z162" t="str">
        <f ca="1">IFERROR(IF(0=LEN(ReferenceData!$Z$162),"",ReferenceData!$Z$162),"")</f>
        <v/>
      </c>
      <c r="AA162" t="str">
        <f ca="1">IFERROR(IF(0=LEN(ReferenceData!$AA$162),"",ReferenceData!$AA$162),"")</f>
        <v/>
      </c>
      <c r="AB162" t="str">
        <f ca="1">IFERROR(IF(0=LEN(ReferenceData!$AB$162),"",ReferenceData!$AB$162),"")</f>
        <v/>
      </c>
      <c r="AC162" t="str">
        <f ca="1">IFERROR(IF(0=LEN(ReferenceData!$AC$162),"",ReferenceData!$AC$162),"")</f>
        <v/>
      </c>
      <c r="AD162" t="str">
        <f ca="1">IFERROR(IF(0=LEN(ReferenceData!$AD$162),"",ReferenceData!$AD$162),"")</f>
        <v/>
      </c>
      <c r="AE162" t="str">
        <f ca="1">IFERROR(IF(0=LEN(ReferenceData!$AE$162),"",ReferenceData!$AE$162),"")</f>
        <v/>
      </c>
      <c r="AF162" t="str">
        <f ca="1">IFERROR(IF(0=LEN(ReferenceData!$AF$162),"",ReferenceData!$AF$162),"")</f>
        <v/>
      </c>
      <c r="AG162" t="str">
        <f ca="1">IFERROR(IF(0=LEN(ReferenceData!$AG$162),"",ReferenceData!$AG$162),"")</f>
        <v/>
      </c>
      <c r="AH162" t="str">
        <f ca="1">IFERROR(IF(0=LEN(ReferenceData!$AH$162),"",ReferenceData!$AH$162),"")</f>
        <v/>
      </c>
      <c r="AI162" t="str">
        <f ca="1">IFERROR(IF(0=LEN(ReferenceData!$AI$162),"",ReferenceData!$AI$162),"")</f>
        <v/>
      </c>
      <c r="AJ162" t="str">
        <f ca="1">IFERROR(IF(0=LEN(ReferenceData!$AJ$162),"",ReferenceData!$AJ$162),"")</f>
        <v/>
      </c>
      <c r="AK162" t="str">
        <f ca="1">IFERROR(IF(0=LEN(ReferenceData!$AK$162),"",ReferenceData!$AK$162),"")</f>
        <v/>
      </c>
      <c r="AL162" t="str">
        <f ca="1">IFERROR(IF(0=LEN(ReferenceData!$AL$162),"",ReferenceData!$AL$162),"")</f>
        <v/>
      </c>
      <c r="AM162" t="str">
        <f ca="1">IFERROR(IF(0=LEN(ReferenceData!$AM$162),"",ReferenceData!$AM$162),"")</f>
        <v/>
      </c>
      <c r="AN162" t="str">
        <f ca="1">IFERROR(IF(0=LEN(ReferenceData!$AN$162),"",ReferenceData!$AN$162),"")</f>
        <v/>
      </c>
      <c r="AO162" t="str">
        <f ca="1">IFERROR(IF(0=LEN(ReferenceData!$AO$162),"",ReferenceData!$AO$162),"")</f>
        <v/>
      </c>
      <c r="AP162" t="str">
        <f ca="1">IFERROR(IF(0=LEN(ReferenceData!$AP$162),"",ReferenceData!$AP$162),"")</f>
        <v/>
      </c>
      <c r="AQ162" t="str">
        <f ca="1">IFERROR(IF(0=LEN(ReferenceData!$AQ$162),"",ReferenceData!$AQ$162),"")</f>
        <v/>
      </c>
      <c r="AR162" t="str">
        <f ca="1">IFERROR(IF(0=LEN(ReferenceData!$AR$162),"",ReferenceData!$AR$162),"")</f>
        <v/>
      </c>
      <c r="AS162" t="str">
        <f ca="1">IFERROR(IF(0=LEN(ReferenceData!$AS$162),"",ReferenceData!$AS$162),"")</f>
        <v/>
      </c>
      <c r="AT162" t="str">
        <f ca="1">IFERROR(IF(0=LEN(ReferenceData!$AT$162),"",ReferenceData!$AT$162),"")</f>
        <v/>
      </c>
      <c r="AU162" t="str">
        <f ca="1">IFERROR(IF(0=LEN(ReferenceData!$AU$162),"",ReferenceData!$AU$162),"")</f>
        <v/>
      </c>
      <c r="AV162" t="str">
        <f ca="1">IFERROR(IF(0=LEN(ReferenceData!$AV$162),"",ReferenceData!$AV$162),"")</f>
        <v/>
      </c>
      <c r="AW162" t="str">
        <f ca="1">IFERROR(IF(0=LEN(ReferenceData!$AW$162),"",ReferenceData!$AW$162),"")</f>
        <v/>
      </c>
      <c r="AX162" t="str">
        <f ca="1">IFERROR(IF(0=LEN(ReferenceData!$AX$162),"",ReferenceData!$AX$162),"")</f>
        <v/>
      </c>
      <c r="AY162" t="str">
        <f ca="1">IFERROR(IF(0=LEN(ReferenceData!$AY$162),"",ReferenceData!$AY$162),"")</f>
        <v/>
      </c>
      <c r="AZ162" t="str">
        <f ca="1">IFERROR(IF(0=LEN(ReferenceData!$AZ$162),"",ReferenceData!$AZ$162),"")</f>
        <v/>
      </c>
      <c r="BA162" t="str">
        <f ca="1">IFERROR(IF(0=LEN(ReferenceData!$BA$162),"",ReferenceData!$BA$162),"")</f>
        <v/>
      </c>
      <c r="BB162" t="str">
        <f ca="1">IFERROR(IF(0=LEN(ReferenceData!$BB$162),"",ReferenceData!$BB$162),"")</f>
        <v/>
      </c>
      <c r="BC162" t="str">
        <f ca="1">IFERROR(IF(0=LEN(ReferenceData!$BC$162),"",ReferenceData!$BC$162),"")</f>
        <v/>
      </c>
      <c r="BD162" t="str">
        <f ca="1">IFERROR(IF(0=LEN(ReferenceData!$BD$162),"",ReferenceData!$BD$162),"")</f>
        <v/>
      </c>
      <c r="BE162" t="str">
        <f ca="1">IFERROR(IF(0=LEN(ReferenceData!$BE$162),"",ReferenceData!$BE$162),"")</f>
        <v/>
      </c>
      <c r="BF162" t="str">
        <f ca="1">IFERROR(IF(0=LEN(ReferenceData!$BF$162),"",ReferenceData!$BF$162),"")</f>
        <v/>
      </c>
      <c r="BG162" t="str">
        <f ca="1">IFERROR(IF(0=LEN(ReferenceData!$BG$162),"",ReferenceData!$BG$162),"")</f>
        <v/>
      </c>
      <c r="BH162" t="str">
        <f ca="1">IFERROR(IF(0=LEN(ReferenceData!$BH$162),"",ReferenceData!$BH$162),"")</f>
        <v/>
      </c>
      <c r="BI162" t="str">
        <f ca="1">IFERROR(IF(0=LEN(ReferenceData!$BI$162),"",ReferenceData!$BI$162),"")</f>
        <v/>
      </c>
      <c r="BJ162" t="str">
        <f ca="1">IFERROR(IF(0=LEN(ReferenceData!$BJ$162),"",ReferenceData!$BJ$162),"")</f>
        <v/>
      </c>
      <c r="BK162" t="str">
        <f ca="1">IFERROR(IF(0=LEN(ReferenceData!$BK$162),"",ReferenceData!$BK$162),"")</f>
        <v/>
      </c>
      <c r="BL162" t="str">
        <f ca="1">IFERROR(IF(0=LEN(ReferenceData!$BL$162),"",ReferenceData!$BL$162),"")</f>
        <v/>
      </c>
      <c r="BM162" t="str">
        <f ca="1">IFERROR(IF(0=LEN(ReferenceData!$BM$162),"",ReferenceData!$BM$162),"")</f>
        <v/>
      </c>
    </row>
    <row r="163" spans="1:65">
      <c r="A163" t="str">
        <f>IFERROR(IF(0=LEN(ReferenceData!$A$163),"",ReferenceData!$A$163),"")</f>
        <v xml:space="preserve">    Signature Bank/New York NY</v>
      </c>
      <c r="B163" t="str">
        <f>IFERROR(IF(0=LEN(ReferenceData!$B$163),"",ReferenceData!$B$163),"")</f>
        <v>SBNY US Equity</v>
      </c>
      <c r="C163" t="str">
        <f>IFERROR(IF(0=LEN(ReferenceData!$C$163),"",ReferenceData!$C$163),"")</f>
        <v>BS963</v>
      </c>
      <c r="D163" t="str">
        <f>IFERROR(IF(0=LEN(ReferenceData!$D$163),"",ReferenceData!$D$163),"")</f>
        <v>BS_COMML_MTG_SERVICED_OTHERS</v>
      </c>
      <c r="E163" t="str">
        <f>IFERROR(IF(0=LEN(ReferenceData!$E$163),"",ReferenceData!$E$163),"")</f>
        <v>Dynamic</v>
      </c>
      <c r="F163" t="str">
        <f ca="1">IFERROR(IF(0=LEN(ReferenceData!$F$163),"",ReferenceData!$F$163),"")</f>
        <v/>
      </c>
      <c r="G163" t="str">
        <f ca="1">IFERROR(IF(0=LEN(ReferenceData!$G$163),"",ReferenceData!$G$163),"")</f>
        <v/>
      </c>
      <c r="H163" t="str">
        <f ca="1">IFERROR(IF(0=LEN(ReferenceData!$H$163),"",ReferenceData!$H$163),"")</f>
        <v/>
      </c>
      <c r="I163" t="str">
        <f ca="1">IFERROR(IF(0=LEN(ReferenceData!$I$163),"",ReferenceData!$I$163),"")</f>
        <v/>
      </c>
      <c r="J163" t="str">
        <f ca="1">IFERROR(IF(0=LEN(ReferenceData!$J$163),"",ReferenceData!$J$163),"")</f>
        <v/>
      </c>
      <c r="K163" t="str">
        <f ca="1">IFERROR(IF(0=LEN(ReferenceData!$K$163),"",ReferenceData!$K$163),"")</f>
        <v/>
      </c>
      <c r="L163" t="str">
        <f ca="1">IFERROR(IF(0=LEN(ReferenceData!$L$163),"",ReferenceData!$L$163),"")</f>
        <v/>
      </c>
      <c r="M163" t="str">
        <f ca="1">IFERROR(IF(0=LEN(ReferenceData!$M$163),"",ReferenceData!$M$163),"")</f>
        <v/>
      </c>
      <c r="N163" t="str">
        <f ca="1">IFERROR(IF(0=LEN(ReferenceData!$N$163),"",ReferenceData!$N$163),"")</f>
        <v/>
      </c>
      <c r="O163" t="str">
        <f ca="1">IFERROR(IF(0=LEN(ReferenceData!$O$163),"",ReferenceData!$O$163),"")</f>
        <v/>
      </c>
      <c r="P163" t="str">
        <f ca="1">IFERROR(IF(0=LEN(ReferenceData!$P$163),"",ReferenceData!$P$163),"")</f>
        <v/>
      </c>
      <c r="Q163" t="str">
        <f ca="1">IFERROR(IF(0=LEN(ReferenceData!$Q$163),"",ReferenceData!$Q$163),"")</f>
        <v/>
      </c>
      <c r="R163" t="str">
        <f ca="1">IFERROR(IF(0=LEN(ReferenceData!$R$163),"",ReferenceData!$R$163),"")</f>
        <v/>
      </c>
      <c r="S163" t="str">
        <f ca="1">IFERROR(IF(0=LEN(ReferenceData!$S$163),"",ReferenceData!$S$163),"")</f>
        <v/>
      </c>
      <c r="T163" t="str">
        <f ca="1">IFERROR(IF(0=LEN(ReferenceData!$T$163),"",ReferenceData!$T$163),"")</f>
        <v/>
      </c>
      <c r="U163" t="str">
        <f ca="1">IFERROR(IF(0=LEN(ReferenceData!$U$163),"",ReferenceData!$U$163),"")</f>
        <v/>
      </c>
      <c r="V163" t="str">
        <f ca="1">IFERROR(IF(0=LEN(ReferenceData!$V$163),"",ReferenceData!$V$163),"")</f>
        <v/>
      </c>
      <c r="W163" t="str">
        <f ca="1">IFERROR(IF(0=LEN(ReferenceData!$W$163),"",ReferenceData!$W$163),"")</f>
        <v/>
      </c>
      <c r="X163" t="str">
        <f ca="1">IFERROR(IF(0=LEN(ReferenceData!$X$163),"",ReferenceData!$X$163),"")</f>
        <v/>
      </c>
      <c r="Y163" t="str">
        <f ca="1">IFERROR(IF(0=LEN(ReferenceData!$Y$163),"",ReferenceData!$Y$163),"")</f>
        <v/>
      </c>
      <c r="Z163" t="str">
        <f ca="1">IFERROR(IF(0=LEN(ReferenceData!$Z$163),"",ReferenceData!$Z$163),"")</f>
        <v/>
      </c>
      <c r="AA163" t="str">
        <f ca="1">IFERROR(IF(0=LEN(ReferenceData!$AA$163),"",ReferenceData!$AA$163),"")</f>
        <v/>
      </c>
      <c r="AB163" t="str">
        <f ca="1">IFERROR(IF(0=LEN(ReferenceData!$AB$163),"",ReferenceData!$AB$163),"")</f>
        <v/>
      </c>
      <c r="AC163" t="str">
        <f ca="1">IFERROR(IF(0=LEN(ReferenceData!$AC$163),"",ReferenceData!$AC$163),"")</f>
        <v/>
      </c>
      <c r="AD163" t="str">
        <f ca="1">IFERROR(IF(0=LEN(ReferenceData!$AD$163),"",ReferenceData!$AD$163),"")</f>
        <v/>
      </c>
      <c r="AE163" t="str">
        <f ca="1">IFERROR(IF(0=LEN(ReferenceData!$AE$163),"",ReferenceData!$AE$163),"")</f>
        <v/>
      </c>
      <c r="AF163" t="str">
        <f ca="1">IFERROR(IF(0=LEN(ReferenceData!$AF$163),"",ReferenceData!$AF$163),"")</f>
        <v/>
      </c>
      <c r="AG163" t="str">
        <f ca="1">IFERROR(IF(0=LEN(ReferenceData!$AG$163),"",ReferenceData!$AG$163),"")</f>
        <v/>
      </c>
      <c r="AH163" t="str">
        <f ca="1">IFERROR(IF(0=LEN(ReferenceData!$AH$163),"",ReferenceData!$AH$163),"")</f>
        <v/>
      </c>
      <c r="AI163" t="str">
        <f ca="1">IFERROR(IF(0=LEN(ReferenceData!$AI$163),"",ReferenceData!$AI$163),"")</f>
        <v/>
      </c>
      <c r="AJ163" t="str">
        <f ca="1">IFERROR(IF(0=LEN(ReferenceData!$AJ$163),"",ReferenceData!$AJ$163),"")</f>
        <v/>
      </c>
      <c r="AK163" t="str">
        <f ca="1">IFERROR(IF(0=LEN(ReferenceData!$AK$163),"",ReferenceData!$AK$163),"")</f>
        <v/>
      </c>
      <c r="AL163" t="str">
        <f ca="1">IFERROR(IF(0=LEN(ReferenceData!$AL$163),"",ReferenceData!$AL$163),"")</f>
        <v/>
      </c>
      <c r="AM163" t="str">
        <f ca="1">IFERROR(IF(0=LEN(ReferenceData!$AM$163),"",ReferenceData!$AM$163),"")</f>
        <v/>
      </c>
      <c r="AN163" t="str">
        <f ca="1">IFERROR(IF(0=LEN(ReferenceData!$AN$163),"",ReferenceData!$AN$163),"")</f>
        <v/>
      </c>
      <c r="AO163" t="str">
        <f ca="1">IFERROR(IF(0=LEN(ReferenceData!$AO$163),"",ReferenceData!$AO$163),"")</f>
        <v/>
      </c>
      <c r="AP163" t="str">
        <f ca="1">IFERROR(IF(0=LEN(ReferenceData!$AP$163),"",ReferenceData!$AP$163),"")</f>
        <v/>
      </c>
      <c r="AQ163" t="str">
        <f ca="1">IFERROR(IF(0=LEN(ReferenceData!$AQ$163),"",ReferenceData!$AQ$163),"")</f>
        <v/>
      </c>
      <c r="AR163" t="str">
        <f ca="1">IFERROR(IF(0=LEN(ReferenceData!$AR$163),"",ReferenceData!$AR$163),"")</f>
        <v/>
      </c>
      <c r="AS163" t="str">
        <f ca="1">IFERROR(IF(0=LEN(ReferenceData!$AS$163),"",ReferenceData!$AS$163),"")</f>
        <v/>
      </c>
      <c r="AT163" t="str">
        <f ca="1">IFERROR(IF(0=LEN(ReferenceData!$AT$163),"",ReferenceData!$AT$163),"")</f>
        <v/>
      </c>
      <c r="AU163" t="str">
        <f ca="1">IFERROR(IF(0=LEN(ReferenceData!$AU$163),"",ReferenceData!$AU$163),"")</f>
        <v/>
      </c>
      <c r="AV163" t="str">
        <f ca="1">IFERROR(IF(0=LEN(ReferenceData!$AV$163),"",ReferenceData!$AV$163),"")</f>
        <v/>
      </c>
      <c r="AW163" t="str">
        <f ca="1">IFERROR(IF(0=LEN(ReferenceData!$AW$163),"",ReferenceData!$AW$163),"")</f>
        <v/>
      </c>
      <c r="AX163" t="str">
        <f ca="1">IFERROR(IF(0=LEN(ReferenceData!$AX$163),"",ReferenceData!$AX$163),"")</f>
        <v/>
      </c>
      <c r="AY163" t="str">
        <f ca="1">IFERROR(IF(0=LEN(ReferenceData!$AY$163),"",ReferenceData!$AY$163),"")</f>
        <v/>
      </c>
      <c r="AZ163" t="str">
        <f ca="1">IFERROR(IF(0=LEN(ReferenceData!$AZ$163),"",ReferenceData!$AZ$163),"")</f>
        <v/>
      </c>
      <c r="BA163" t="str">
        <f ca="1">IFERROR(IF(0=LEN(ReferenceData!$BA$163),"",ReferenceData!$BA$163),"")</f>
        <v/>
      </c>
      <c r="BB163" t="str">
        <f ca="1">IFERROR(IF(0=LEN(ReferenceData!$BB$163),"",ReferenceData!$BB$163),"")</f>
        <v/>
      </c>
      <c r="BC163" t="str">
        <f ca="1">IFERROR(IF(0=LEN(ReferenceData!$BC$163),"",ReferenceData!$BC$163),"")</f>
        <v/>
      </c>
      <c r="BD163" t="str">
        <f ca="1">IFERROR(IF(0=LEN(ReferenceData!$BD$163),"",ReferenceData!$BD$163),"")</f>
        <v/>
      </c>
      <c r="BE163" t="str">
        <f ca="1">IFERROR(IF(0=LEN(ReferenceData!$BE$163),"",ReferenceData!$BE$163),"")</f>
        <v/>
      </c>
      <c r="BF163" t="str">
        <f ca="1">IFERROR(IF(0=LEN(ReferenceData!$BF$163),"",ReferenceData!$BF$163),"")</f>
        <v/>
      </c>
      <c r="BG163" t="str">
        <f ca="1">IFERROR(IF(0=LEN(ReferenceData!$BG$163),"",ReferenceData!$BG$163),"")</f>
        <v/>
      </c>
      <c r="BH163" t="str">
        <f ca="1">IFERROR(IF(0=LEN(ReferenceData!$BH$163),"",ReferenceData!$BH$163),"")</f>
        <v/>
      </c>
      <c r="BI163" t="str">
        <f ca="1">IFERROR(IF(0=LEN(ReferenceData!$BI$163),"",ReferenceData!$BI$163),"")</f>
        <v/>
      </c>
      <c r="BJ163" t="str">
        <f ca="1">IFERROR(IF(0=LEN(ReferenceData!$BJ$163),"",ReferenceData!$BJ$163),"")</f>
        <v/>
      </c>
      <c r="BK163" t="str">
        <f ca="1">IFERROR(IF(0=LEN(ReferenceData!$BK$163),"",ReferenceData!$BK$163),"")</f>
        <v/>
      </c>
      <c r="BL163" t="str">
        <f ca="1">IFERROR(IF(0=LEN(ReferenceData!$BL$163),"",ReferenceData!$BL$163),"")</f>
        <v/>
      </c>
      <c r="BM163" t="str">
        <f ca="1">IFERROR(IF(0=LEN(ReferenceData!$BM$163),"",ReferenceData!$BM$163),"")</f>
        <v/>
      </c>
    </row>
    <row r="164" spans="1:65">
      <c r="A164" t="str">
        <f>IFERROR(IF(0=LEN(ReferenceData!$A$164),"",ReferenceData!$A$164),"")</f>
        <v xml:space="preserve">    SVB Financial Group</v>
      </c>
      <c r="B164" t="str">
        <f>IFERROR(IF(0=LEN(ReferenceData!$B$164),"",ReferenceData!$B$164),"")</f>
        <v>SIVBQ US Equity</v>
      </c>
      <c r="C164" t="str">
        <f>IFERROR(IF(0=LEN(ReferenceData!$C$164),"",ReferenceData!$C$164),"")</f>
        <v>BS963</v>
      </c>
      <c r="D164" t="str">
        <f>IFERROR(IF(0=LEN(ReferenceData!$D$164),"",ReferenceData!$D$164),"")</f>
        <v>BS_COMML_MTG_SERVICED_OTHERS</v>
      </c>
      <c r="E164" t="str">
        <f>IFERROR(IF(0=LEN(ReferenceData!$E$164),"",ReferenceData!$E$164),"")</f>
        <v>Dynamic</v>
      </c>
      <c r="F164" t="str">
        <f ca="1">IFERROR(IF(0=LEN(ReferenceData!$F$164),"",ReferenceData!$F$164),"")</f>
        <v/>
      </c>
      <c r="G164" t="str">
        <f ca="1">IFERROR(IF(0=LEN(ReferenceData!$G$164),"",ReferenceData!$G$164),"")</f>
        <v/>
      </c>
      <c r="H164" t="str">
        <f ca="1">IFERROR(IF(0=LEN(ReferenceData!$H$164),"",ReferenceData!$H$164),"")</f>
        <v/>
      </c>
      <c r="I164" t="str">
        <f ca="1">IFERROR(IF(0=LEN(ReferenceData!$I$164),"",ReferenceData!$I$164),"")</f>
        <v/>
      </c>
      <c r="J164" t="str">
        <f ca="1">IFERROR(IF(0=LEN(ReferenceData!$J$164),"",ReferenceData!$J$164),"")</f>
        <v/>
      </c>
      <c r="K164" t="str">
        <f ca="1">IFERROR(IF(0=LEN(ReferenceData!$K$164),"",ReferenceData!$K$164),"")</f>
        <v/>
      </c>
      <c r="L164" t="str">
        <f ca="1">IFERROR(IF(0=LEN(ReferenceData!$L$164),"",ReferenceData!$L$164),"")</f>
        <v/>
      </c>
      <c r="M164" t="str">
        <f ca="1">IFERROR(IF(0=LEN(ReferenceData!$M$164),"",ReferenceData!$M$164),"")</f>
        <v/>
      </c>
      <c r="N164" t="str">
        <f ca="1">IFERROR(IF(0=LEN(ReferenceData!$N$164),"",ReferenceData!$N$164),"")</f>
        <v/>
      </c>
      <c r="O164" t="str">
        <f ca="1">IFERROR(IF(0=LEN(ReferenceData!$O$164),"",ReferenceData!$O$164),"")</f>
        <v/>
      </c>
      <c r="P164" t="str">
        <f ca="1">IFERROR(IF(0=LEN(ReferenceData!$P$164),"",ReferenceData!$P$164),"")</f>
        <v/>
      </c>
      <c r="Q164" t="str">
        <f ca="1">IFERROR(IF(0=LEN(ReferenceData!$Q$164),"",ReferenceData!$Q$164),"")</f>
        <v/>
      </c>
      <c r="R164" t="str">
        <f ca="1">IFERROR(IF(0=LEN(ReferenceData!$R$164),"",ReferenceData!$R$164),"")</f>
        <v/>
      </c>
      <c r="S164" t="str">
        <f ca="1">IFERROR(IF(0=LEN(ReferenceData!$S$164),"",ReferenceData!$S$164),"")</f>
        <v/>
      </c>
      <c r="T164" t="str">
        <f ca="1">IFERROR(IF(0=LEN(ReferenceData!$T$164),"",ReferenceData!$T$164),"")</f>
        <v/>
      </c>
      <c r="U164" t="str">
        <f ca="1">IFERROR(IF(0=LEN(ReferenceData!$U$164),"",ReferenceData!$U$164),"")</f>
        <v/>
      </c>
      <c r="V164" t="str">
        <f ca="1">IFERROR(IF(0=LEN(ReferenceData!$V$164),"",ReferenceData!$V$164),"")</f>
        <v/>
      </c>
      <c r="W164" t="str">
        <f ca="1">IFERROR(IF(0=LEN(ReferenceData!$W$164),"",ReferenceData!$W$164),"")</f>
        <v/>
      </c>
      <c r="X164" t="str">
        <f ca="1">IFERROR(IF(0=LEN(ReferenceData!$X$164),"",ReferenceData!$X$164),"")</f>
        <v/>
      </c>
      <c r="Y164" t="str">
        <f ca="1">IFERROR(IF(0=LEN(ReferenceData!$Y$164),"",ReferenceData!$Y$164),"")</f>
        <v/>
      </c>
      <c r="Z164" t="str">
        <f ca="1">IFERROR(IF(0=LEN(ReferenceData!$Z$164),"",ReferenceData!$Z$164),"")</f>
        <v/>
      </c>
      <c r="AA164" t="str">
        <f ca="1">IFERROR(IF(0=LEN(ReferenceData!$AA$164),"",ReferenceData!$AA$164),"")</f>
        <v/>
      </c>
      <c r="AB164" t="str">
        <f ca="1">IFERROR(IF(0=LEN(ReferenceData!$AB$164),"",ReferenceData!$AB$164),"")</f>
        <v/>
      </c>
      <c r="AC164" t="str">
        <f ca="1">IFERROR(IF(0=LEN(ReferenceData!$AC$164),"",ReferenceData!$AC$164),"")</f>
        <v/>
      </c>
      <c r="AD164" t="str">
        <f ca="1">IFERROR(IF(0=LEN(ReferenceData!$AD$164),"",ReferenceData!$AD$164),"")</f>
        <v/>
      </c>
      <c r="AE164" t="str">
        <f ca="1">IFERROR(IF(0=LEN(ReferenceData!$AE$164),"",ReferenceData!$AE$164),"")</f>
        <v/>
      </c>
      <c r="AF164" t="str">
        <f ca="1">IFERROR(IF(0=LEN(ReferenceData!$AF$164),"",ReferenceData!$AF$164),"")</f>
        <v/>
      </c>
      <c r="AG164" t="str">
        <f ca="1">IFERROR(IF(0=LEN(ReferenceData!$AG$164),"",ReferenceData!$AG$164),"")</f>
        <v/>
      </c>
      <c r="AH164" t="str">
        <f ca="1">IFERROR(IF(0=LEN(ReferenceData!$AH$164),"",ReferenceData!$AH$164),"")</f>
        <v/>
      </c>
      <c r="AI164" t="str">
        <f ca="1">IFERROR(IF(0=LEN(ReferenceData!$AI$164),"",ReferenceData!$AI$164),"")</f>
        <v/>
      </c>
      <c r="AJ164" t="str">
        <f ca="1">IFERROR(IF(0=LEN(ReferenceData!$AJ$164),"",ReferenceData!$AJ$164),"")</f>
        <v/>
      </c>
      <c r="AK164" t="str">
        <f ca="1">IFERROR(IF(0=LEN(ReferenceData!$AK$164),"",ReferenceData!$AK$164),"")</f>
        <v/>
      </c>
      <c r="AL164" t="str">
        <f ca="1">IFERROR(IF(0=LEN(ReferenceData!$AL$164),"",ReferenceData!$AL$164),"")</f>
        <v/>
      </c>
      <c r="AM164" t="str">
        <f ca="1">IFERROR(IF(0=LEN(ReferenceData!$AM$164),"",ReferenceData!$AM$164),"")</f>
        <v/>
      </c>
      <c r="AN164" t="str">
        <f ca="1">IFERROR(IF(0=LEN(ReferenceData!$AN$164),"",ReferenceData!$AN$164),"")</f>
        <v/>
      </c>
      <c r="AO164" t="str">
        <f ca="1">IFERROR(IF(0=LEN(ReferenceData!$AO$164),"",ReferenceData!$AO$164),"")</f>
        <v/>
      </c>
      <c r="AP164" t="str">
        <f ca="1">IFERROR(IF(0=LEN(ReferenceData!$AP$164),"",ReferenceData!$AP$164),"")</f>
        <v/>
      </c>
      <c r="AQ164" t="str">
        <f ca="1">IFERROR(IF(0=LEN(ReferenceData!$AQ$164),"",ReferenceData!$AQ$164),"")</f>
        <v/>
      </c>
      <c r="AR164" t="str">
        <f ca="1">IFERROR(IF(0=LEN(ReferenceData!$AR$164),"",ReferenceData!$AR$164),"")</f>
        <v/>
      </c>
      <c r="AS164" t="str">
        <f ca="1">IFERROR(IF(0=LEN(ReferenceData!$AS$164),"",ReferenceData!$AS$164),"")</f>
        <v/>
      </c>
      <c r="AT164" t="str">
        <f ca="1">IFERROR(IF(0=LEN(ReferenceData!$AT$164),"",ReferenceData!$AT$164),"")</f>
        <v/>
      </c>
      <c r="AU164" t="str">
        <f ca="1">IFERROR(IF(0=LEN(ReferenceData!$AU$164),"",ReferenceData!$AU$164),"")</f>
        <v/>
      </c>
      <c r="AV164" t="str">
        <f ca="1">IFERROR(IF(0=LEN(ReferenceData!$AV$164),"",ReferenceData!$AV$164),"")</f>
        <v/>
      </c>
      <c r="AW164" t="str">
        <f ca="1">IFERROR(IF(0=LEN(ReferenceData!$AW$164),"",ReferenceData!$AW$164),"")</f>
        <v/>
      </c>
      <c r="AX164" t="str">
        <f ca="1">IFERROR(IF(0=LEN(ReferenceData!$AX$164),"",ReferenceData!$AX$164),"")</f>
        <v/>
      </c>
      <c r="AY164" t="str">
        <f ca="1">IFERROR(IF(0=LEN(ReferenceData!$AY$164),"",ReferenceData!$AY$164),"")</f>
        <v/>
      </c>
      <c r="AZ164" t="str">
        <f ca="1">IFERROR(IF(0=LEN(ReferenceData!$AZ$164),"",ReferenceData!$AZ$164),"")</f>
        <v/>
      </c>
      <c r="BA164" t="str">
        <f ca="1">IFERROR(IF(0=LEN(ReferenceData!$BA$164),"",ReferenceData!$BA$164),"")</f>
        <v/>
      </c>
      <c r="BB164" t="str">
        <f ca="1">IFERROR(IF(0=LEN(ReferenceData!$BB$164),"",ReferenceData!$BB$164),"")</f>
        <v/>
      </c>
      <c r="BC164" t="str">
        <f ca="1">IFERROR(IF(0=LEN(ReferenceData!$BC$164),"",ReferenceData!$BC$164),"")</f>
        <v/>
      </c>
      <c r="BD164" t="str">
        <f ca="1">IFERROR(IF(0=LEN(ReferenceData!$BD$164),"",ReferenceData!$BD$164),"")</f>
        <v/>
      </c>
      <c r="BE164" t="str">
        <f ca="1">IFERROR(IF(0=LEN(ReferenceData!$BE$164),"",ReferenceData!$BE$164),"")</f>
        <v/>
      </c>
      <c r="BF164" t="str">
        <f ca="1">IFERROR(IF(0=LEN(ReferenceData!$BF$164),"",ReferenceData!$BF$164),"")</f>
        <v/>
      </c>
      <c r="BG164" t="str">
        <f ca="1">IFERROR(IF(0=LEN(ReferenceData!$BG$164),"",ReferenceData!$BG$164),"")</f>
        <v/>
      </c>
      <c r="BH164" t="str">
        <f ca="1">IFERROR(IF(0=LEN(ReferenceData!$BH$164),"",ReferenceData!$BH$164),"")</f>
        <v/>
      </c>
      <c r="BI164" t="str">
        <f ca="1">IFERROR(IF(0=LEN(ReferenceData!$BI$164),"",ReferenceData!$BI$164),"")</f>
        <v/>
      </c>
      <c r="BJ164" t="str">
        <f ca="1">IFERROR(IF(0=LEN(ReferenceData!$BJ$164),"",ReferenceData!$BJ$164),"")</f>
        <v/>
      </c>
      <c r="BK164" t="str">
        <f ca="1">IFERROR(IF(0=LEN(ReferenceData!$BK$164),"",ReferenceData!$BK$164),"")</f>
        <v/>
      </c>
      <c r="BL164" t="str">
        <f ca="1">IFERROR(IF(0=LEN(ReferenceData!$BL$164),"",ReferenceData!$BL$164),"")</f>
        <v/>
      </c>
      <c r="BM164" t="str">
        <f ca="1">IFERROR(IF(0=LEN(ReferenceData!$BM$164),"",ReferenceData!$BM$164),"")</f>
        <v/>
      </c>
    </row>
    <row r="165" spans="1:65">
      <c r="A165" t="str">
        <f>IFERROR(IF(0=LEN(ReferenceData!$A$165),"",ReferenceData!$A$165),"")</f>
        <v xml:space="preserve">    Truist Financial Corp</v>
      </c>
      <c r="B165" t="str">
        <f>IFERROR(IF(0=LEN(ReferenceData!$B$165),"",ReferenceData!$B$165),"")</f>
        <v>TFC US Equity</v>
      </c>
      <c r="C165" t="str">
        <f>IFERROR(IF(0=LEN(ReferenceData!$C$165),"",ReferenceData!$C$165),"")</f>
        <v>BS963</v>
      </c>
      <c r="D165" t="str">
        <f>IFERROR(IF(0=LEN(ReferenceData!$D$165),"",ReferenceData!$D$165),"")</f>
        <v>BS_COMML_MTG_SERVICED_OTHERS</v>
      </c>
      <c r="E165" t="str">
        <f>IFERROR(IF(0=LEN(ReferenceData!$E$165),"",ReferenceData!$E$165),"")</f>
        <v>Dynamic</v>
      </c>
      <c r="F165">
        <f ca="1">IFERROR(IF(0=LEN(ReferenceData!$F$165),"",ReferenceData!$F$165),"")</f>
        <v>27845</v>
      </c>
      <c r="G165">
        <f ca="1">IFERROR(IF(0=LEN(ReferenceData!$G$165),"",ReferenceData!$G$165),"")</f>
        <v>28241</v>
      </c>
      <c r="H165">
        <f ca="1">IFERROR(IF(0=LEN(ReferenceData!$H$165),"",ReferenceData!$H$165),"")</f>
        <v>28964</v>
      </c>
      <c r="I165">
        <f ca="1">IFERROR(IF(0=LEN(ReferenceData!$I$165),"",ReferenceData!$I$165),"")</f>
        <v>29075</v>
      </c>
      <c r="J165">
        <f ca="1">IFERROR(IF(0=LEN(ReferenceData!$J$165),"",ReferenceData!$J$165),"")</f>
        <v>31681</v>
      </c>
      <c r="K165">
        <f ca="1">IFERROR(IF(0=LEN(ReferenceData!$K$165),"",ReferenceData!$K$165),"")</f>
        <v>34179</v>
      </c>
      <c r="L165">
        <f ca="1">IFERROR(IF(0=LEN(ReferenceData!$L$165),"",ReferenceData!$L$165),"")</f>
        <v>35076</v>
      </c>
      <c r="M165">
        <f ca="1">IFERROR(IF(0=LEN(ReferenceData!$M$165),"",ReferenceData!$M$165),"")</f>
        <v>36245</v>
      </c>
      <c r="N165">
        <f ca="1">IFERROR(IF(0=LEN(ReferenceData!$N$165),"",ReferenceData!$N$165),"")</f>
        <v>36622</v>
      </c>
      <c r="O165">
        <f ca="1">IFERROR(IF(0=LEN(ReferenceData!$O$165),"",ReferenceData!$O$165),"")</f>
        <v>36263</v>
      </c>
      <c r="P165">
        <f ca="1">IFERROR(IF(0=LEN(ReferenceData!$P$165),"",ReferenceData!$P$165),"")</f>
        <v>36759</v>
      </c>
      <c r="Q165">
        <f ca="1">IFERROR(IF(0=LEN(ReferenceData!$Q$165),"",ReferenceData!$Q$165),"")</f>
        <v>37397</v>
      </c>
      <c r="R165">
        <f ca="1">IFERROR(IF(0=LEN(ReferenceData!$R$165),"",ReferenceData!$R$165),"")</f>
        <v>37960</v>
      </c>
      <c r="S165">
        <f ca="1">IFERROR(IF(0=LEN(ReferenceData!$S$165),"",ReferenceData!$S$165),"")</f>
        <v>37437</v>
      </c>
      <c r="T165">
        <f ca="1">IFERROR(IF(0=LEN(ReferenceData!$T$165),"",ReferenceData!$T$165),"")</f>
        <v>37626</v>
      </c>
      <c r="U165">
        <f ca="1">IFERROR(IF(0=LEN(ReferenceData!$U$165),"",ReferenceData!$U$165),"")</f>
        <v>37089</v>
      </c>
      <c r="V165">
        <f ca="1">IFERROR(IF(0=LEN(ReferenceData!$V$165),"",ReferenceData!$V$165),"")</f>
        <v>36670</v>
      </c>
      <c r="W165">
        <f ca="1">IFERROR(IF(0=LEN(ReferenceData!$W$165),"",ReferenceData!$W$165),"")</f>
        <v>36410</v>
      </c>
      <c r="X165">
        <f ca="1">IFERROR(IF(0=LEN(ReferenceData!$X$165),"",ReferenceData!$X$165),"")</f>
        <v>72522</v>
      </c>
      <c r="Y165">
        <f ca="1">IFERROR(IF(0=LEN(ReferenceData!$Y$165),"",ReferenceData!$Y$165),"")</f>
        <v>71391</v>
      </c>
      <c r="Z165">
        <f ca="1">IFERROR(IF(0=LEN(ReferenceData!$Z$165),"",ReferenceData!$Z$165),"")</f>
        <v>70404</v>
      </c>
      <c r="AA165">
        <f ca="1">IFERROR(IF(0=LEN(ReferenceData!$AA$165),"",ReferenceData!$AA$165),"")</f>
        <v>27951</v>
      </c>
      <c r="AB165">
        <f ca="1">IFERROR(IF(0=LEN(ReferenceData!$AB$165),"",ReferenceData!$AB$165),"")</f>
        <v>27683</v>
      </c>
      <c r="AC165">
        <f ca="1">IFERROR(IF(0=LEN(ReferenceData!$AC$165),"",ReferenceData!$AC$165),"")</f>
        <v>27749</v>
      </c>
      <c r="AD165">
        <f ca="1">IFERROR(IF(0=LEN(ReferenceData!$AD$165),"",ReferenceData!$AD$165),"")</f>
        <v>27761</v>
      </c>
      <c r="AE165">
        <f ca="1">IFERROR(IF(0=LEN(ReferenceData!$AE$165),"",ReferenceData!$AE$165),"")</f>
        <v>27323</v>
      </c>
      <c r="AF165">
        <f ca="1">IFERROR(IF(0=LEN(ReferenceData!$AF$165),"",ReferenceData!$AF$165),"")</f>
        <v>27586</v>
      </c>
      <c r="AG165">
        <f ca="1">IFERROR(IF(0=LEN(ReferenceData!$AG$165),"",ReferenceData!$AG$165),"")</f>
        <v>27472</v>
      </c>
      <c r="AH165">
        <f ca="1">IFERROR(IF(0=LEN(ReferenceData!$AH$165),"",ReferenceData!$AH$165),"")</f>
        <v>28441</v>
      </c>
      <c r="AI165">
        <f ca="1">IFERROR(IF(0=LEN(ReferenceData!$AI$165),"",ReferenceData!$AI$165),"")</f>
        <v>28122</v>
      </c>
      <c r="AJ165">
        <f ca="1">IFERROR(IF(0=LEN(ReferenceData!$AJ$165),"",ReferenceData!$AJ$165),"")</f>
        <v>28999</v>
      </c>
      <c r="AK165">
        <f ca="1">IFERROR(IF(0=LEN(ReferenceData!$AK$165),"",ReferenceData!$AK$165),"")</f>
        <v>29289</v>
      </c>
      <c r="AL165">
        <f ca="1">IFERROR(IF(0=LEN(ReferenceData!$AL$165),"",ReferenceData!$AL$165),"")</f>
        <v>29333</v>
      </c>
      <c r="AM165">
        <f ca="1">IFERROR(IF(0=LEN(ReferenceData!$AM$165),"",ReferenceData!$AM$165),"")</f>
        <v>29146</v>
      </c>
      <c r="AN165">
        <f ca="1">IFERROR(IF(0=LEN(ReferenceData!$AN$165),"",ReferenceData!$AN$165),"")</f>
        <v>28455</v>
      </c>
      <c r="AO165">
        <f ca="1">IFERROR(IF(0=LEN(ReferenceData!$AO$165),"",ReferenceData!$AO$165),"")</f>
        <v>28245</v>
      </c>
      <c r="AP165">
        <f ca="1">IFERROR(IF(0=LEN(ReferenceData!$AP$165),"",ReferenceData!$AP$165),"")</f>
        <v>28163</v>
      </c>
      <c r="AQ165">
        <f ca="1">IFERROR(IF(0=LEN(ReferenceData!$AQ$165),"",ReferenceData!$AQ$165),"")</f>
        <v>27909</v>
      </c>
      <c r="AR165">
        <f ca="1">IFERROR(IF(0=LEN(ReferenceData!$AR$165),"",ReferenceData!$AR$165),"")</f>
        <v>28039</v>
      </c>
      <c r="AS165">
        <f ca="1">IFERROR(IF(0=LEN(ReferenceData!$AS$165),"",ReferenceData!$AS$165),"")</f>
        <v>27805</v>
      </c>
      <c r="AT165">
        <f ca="1">IFERROR(IF(0=LEN(ReferenceData!$AT$165),"",ReferenceData!$AT$165),"")</f>
        <v>27599</v>
      </c>
      <c r="AU165">
        <f ca="1">IFERROR(IF(0=LEN(ReferenceData!$AU$165),"",ReferenceData!$AU$165),"")</f>
        <v>27739</v>
      </c>
      <c r="AV165">
        <f ca="1">IFERROR(IF(0=LEN(ReferenceData!$AV$165),"",ReferenceData!$AV$165),"")</f>
        <v>27697</v>
      </c>
      <c r="AW165">
        <f ca="1">IFERROR(IF(0=LEN(ReferenceData!$AW$165),"",ReferenceData!$AW$165),"")</f>
        <v>27878</v>
      </c>
      <c r="AX165">
        <f ca="1">IFERROR(IF(0=LEN(ReferenceData!$AX$165),"",ReferenceData!$AX$165),"")</f>
        <v>28095</v>
      </c>
      <c r="AY165">
        <f ca="1">IFERROR(IF(0=LEN(ReferenceData!$AY$165),"",ReferenceData!$AY$165),"")</f>
        <v>28049</v>
      </c>
      <c r="AZ165">
        <f ca="1">IFERROR(IF(0=LEN(ReferenceData!$AZ$165),"",ReferenceData!$AZ$165),"")</f>
        <v>28461</v>
      </c>
      <c r="BA165">
        <f ca="1">IFERROR(IF(0=LEN(ReferenceData!$BA$165),"",ReferenceData!$BA$165),"")</f>
        <v>28910</v>
      </c>
      <c r="BB165">
        <f ca="1">IFERROR(IF(0=LEN(ReferenceData!$BB$165),"",ReferenceData!$BB$165),"")</f>
        <v>29520</v>
      </c>
      <c r="BC165">
        <f ca="1">IFERROR(IF(0=LEN(ReferenceData!$BC$165),"",ReferenceData!$BC$165),"")</f>
        <v>25982</v>
      </c>
      <c r="BD165">
        <f ca="1">IFERROR(IF(0=LEN(ReferenceData!$BD$165),"",ReferenceData!$BD$165),"")</f>
        <v>32778</v>
      </c>
      <c r="BE165">
        <f ca="1">IFERROR(IF(0=LEN(ReferenceData!$BE$165),"",ReferenceData!$BE$165),"")</f>
        <v>25800</v>
      </c>
      <c r="BF165">
        <f ca="1">IFERROR(IF(0=LEN(ReferenceData!$BF$165),"",ReferenceData!$BF$165),"")</f>
        <v>25400</v>
      </c>
      <c r="BG165">
        <f ca="1">IFERROR(IF(0=LEN(ReferenceData!$BG$165),"",ReferenceData!$BG$165),"")</f>
        <v>24985</v>
      </c>
      <c r="BH165">
        <f ca="1">IFERROR(IF(0=LEN(ReferenceData!$BH$165),"",ReferenceData!$BH$165),"")</f>
        <v>24408</v>
      </c>
      <c r="BI165">
        <f ca="1">IFERROR(IF(0=LEN(ReferenceData!$BI$165),"",ReferenceData!$BI$165),"")</f>
        <v>24371</v>
      </c>
      <c r="BJ165">
        <f ca="1">IFERROR(IF(0=LEN(ReferenceData!$BJ$165),"",ReferenceData!$BJ$165),"")</f>
        <v>24100</v>
      </c>
      <c r="BK165">
        <f ca="1">IFERROR(IF(0=LEN(ReferenceData!$BK$165),"",ReferenceData!$BK$165),"")</f>
        <v>23757</v>
      </c>
      <c r="BL165">
        <f ca="1">IFERROR(IF(0=LEN(ReferenceData!$BL$165),"",ReferenceData!$BL$165),"")</f>
        <v>23815</v>
      </c>
      <c r="BM165" t="str">
        <f ca="1">IFERROR(IF(0=LEN(ReferenceData!$BM$165),"",ReferenceData!$BM$165),"")</f>
        <v/>
      </c>
    </row>
    <row r="166" spans="1:65">
      <c r="A166" t="str">
        <f>IFERROR(IF(0=LEN(ReferenceData!$A$166),"",ReferenceData!$A$166),"")</f>
        <v xml:space="preserve">    US Bancorp</v>
      </c>
      <c r="B166" t="str">
        <f>IFERROR(IF(0=LEN(ReferenceData!$B$166),"",ReferenceData!$B$166),"")</f>
        <v>USB US Equity</v>
      </c>
      <c r="C166" t="str">
        <f>IFERROR(IF(0=LEN(ReferenceData!$C$166),"",ReferenceData!$C$166),"")</f>
        <v>BS963</v>
      </c>
      <c r="D166" t="str">
        <f>IFERROR(IF(0=LEN(ReferenceData!$D$166),"",ReferenceData!$D$166),"")</f>
        <v>BS_COMML_MTG_SERVICED_OTHERS</v>
      </c>
      <c r="E166" t="str">
        <f>IFERROR(IF(0=LEN(ReferenceData!$E$166),"",ReferenceData!$E$166),"")</f>
        <v>Dynamic</v>
      </c>
      <c r="F166" t="str">
        <f ca="1">IFERROR(IF(0=LEN(ReferenceData!$F$166),"",ReferenceData!$F$166),"")</f>
        <v/>
      </c>
      <c r="G166" t="str">
        <f ca="1">IFERROR(IF(0=LEN(ReferenceData!$G$166),"",ReferenceData!$G$166),"")</f>
        <v/>
      </c>
      <c r="H166" t="str">
        <f ca="1">IFERROR(IF(0=LEN(ReferenceData!$H$166),"",ReferenceData!$H$166),"")</f>
        <v/>
      </c>
      <c r="I166" t="str">
        <f ca="1">IFERROR(IF(0=LEN(ReferenceData!$I$166),"",ReferenceData!$I$166),"")</f>
        <v/>
      </c>
      <c r="J166" t="str">
        <f ca="1">IFERROR(IF(0=LEN(ReferenceData!$J$166),"",ReferenceData!$J$166),"")</f>
        <v/>
      </c>
      <c r="K166" t="str">
        <f ca="1">IFERROR(IF(0=LEN(ReferenceData!$K$166),"",ReferenceData!$K$166),"")</f>
        <v/>
      </c>
      <c r="L166" t="str">
        <f ca="1">IFERROR(IF(0=LEN(ReferenceData!$L$166),"",ReferenceData!$L$166),"")</f>
        <v/>
      </c>
      <c r="M166" t="str">
        <f ca="1">IFERROR(IF(0=LEN(ReferenceData!$M$166),"",ReferenceData!$M$166),"")</f>
        <v/>
      </c>
      <c r="N166" t="str">
        <f ca="1">IFERROR(IF(0=LEN(ReferenceData!$N$166),"",ReferenceData!$N$166),"")</f>
        <v/>
      </c>
      <c r="O166" t="str">
        <f ca="1">IFERROR(IF(0=LEN(ReferenceData!$O$166),"",ReferenceData!$O$166),"")</f>
        <v/>
      </c>
      <c r="P166" t="str">
        <f ca="1">IFERROR(IF(0=LEN(ReferenceData!$P$166),"",ReferenceData!$P$166),"")</f>
        <v/>
      </c>
      <c r="Q166" t="str">
        <f ca="1">IFERROR(IF(0=LEN(ReferenceData!$Q$166),"",ReferenceData!$Q$166),"")</f>
        <v/>
      </c>
      <c r="R166" t="str">
        <f ca="1">IFERROR(IF(0=LEN(ReferenceData!$R$166),"",ReferenceData!$R$166),"")</f>
        <v/>
      </c>
      <c r="S166" t="str">
        <f ca="1">IFERROR(IF(0=LEN(ReferenceData!$S$166),"",ReferenceData!$S$166),"")</f>
        <v/>
      </c>
      <c r="T166" t="str">
        <f ca="1">IFERROR(IF(0=LEN(ReferenceData!$T$166),"",ReferenceData!$T$166),"")</f>
        <v/>
      </c>
      <c r="U166" t="str">
        <f ca="1">IFERROR(IF(0=LEN(ReferenceData!$U$166),"",ReferenceData!$U$166),"")</f>
        <v/>
      </c>
      <c r="V166" t="str">
        <f ca="1">IFERROR(IF(0=LEN(ReferenceData!$V$166),"",ReferenceData!$V$166),"")</f>
        <v/>
      </c>
      <c r="W166" t="str">
        <f ca="1">IFERROR(IF(0=LEN(ReferenceData!$W$166),"",ReferenceData!$W$166),"")</f>
        <v/>
      </c>
      <c r="X166" t="str">
        <f ca="1">IFERROR(IF(0=LEN(ReferenceData!$X$166),"",ReferenceData!$X$166),"")</f>
        <v/>
      </c>
      <c r="Y166" t="str">
        <f ca="1">IFERROR(IF(0=LEN(ReferenceData!$Y$166),"",ReferenceData!$Y$166),"")</f>
        <v/>
      </c>
      <c r="Z166" t="str">
        <f ca="1">IFERROR(IF(0=LEN(ReferenceData!$Z$166),"",ReferenceData!$Z$166),"")</f>
        <v/>
      </c>
      <c r="AA166" t="str">
        <f ca="1">IFERROR(IF(0=LEN(ReferenceData!$AA$166),"",ReferenceData!$AA$166),"")</f>
        <v/>
      </c>
      <c r="AB166" t="str">
        <f ca="1">IFERROR(IF(0=LEN(ReferenceData!$AB$166),"",ReferenceData!$AB$166),"")</f>
        <v/>
      </c>
      <c r="AC166" t="str">
        <f ca="1">IFERROR(IF(0=LEN(ReferenceData!$AC$166),"",ReferenceData!$AC$166),"")</f>
        <v/>
      </c>
      <c r="AD166" t="str">
        <f ca="1">IFERROR(IF(0=LEN(ReferenceData!$AD$166),"",ReferenceData!$AD$166),"")</f>
        <v/>
      </c>
      <c r="AE166" t="str">
        <f ca="1">IFERROR(IF(0=LEN(ReferenceData!$AE$166),"",ReferenceData!$AE$166),"")</f>
        <v/>
      </c>
      <c r="AF166" t="str">
        <f ca="1">IFERROR(IF(0=LEN(ReferenceData!$AF$166),"",ReferenceData!$AF$166),"")</f>
        <v/>
      </c>
      <c r="AG166" t="str">
        <f ca="1">IFERROR(IF(0=LEN(ReferenceData!$AG$166),"",ReferenceData!$AG$166),"")</f>
        <v/>
      </c>
      <c r="AH166" t="str">
        <f ca="1">IFERROR(IF(0=LEN(ReferenceData!$AH$166),"",ReferenceData!$AH$166),"")</f>
        <v/>
      </c>
      <c r="AI166" t="str">
        <f ca="1">IFERROR(IF(0=LEN(ReferenceData!$AI$166),"",ReferenceData!$AI$166),"")</f>
        <v/>
      </c>
      <c r="AJ166" t="str">
        <f ca="1">IFERROR(IF(0=LEN(ReferenceData!$AJ$166),"",ReferenceData!$AJ$166),"")</f>
        <v/>
      </c>
      <c r="AK166" t="str">
        <f ca="1">IFERROR(IF(0=LEN(ReferenceData!$AK$166),"",ReferenceData!$AK$166),"")</f>
        <v/>
      </c>
      <c r="AL166" t="str">
        <f ca="1">IFERROR(IF(0=LEN(ReferenceData!$AL$166),"",ReferenceData!$AL$166),"")</f>
        <v/>
      </c>
      <c r="AM166" t="str">
        <f ca="1">IFERROR(IF(0=LEN(ReferenceData!$AM$166),"",ReferenceData!$AM$166),"")</f>
        <v/>
      </c>
      <c r="AN166" t="str">
        <f ca="1">IFERROR(IF(0=LEN(ReferenceData!$AN$166),"",ReferenceData!$AN$166),"")</f>
        <v/>
      </c>
      <c r="AO166" t="str">
        <f ca="1">IFERROR(IF(0=LEN(ReferenceData!$AO$166),"",ReferenceData!$AO$166),"")</f>
        <v/>
      </c>
      <c r="AP166" t="str">
        <f ca="1">IFERROR(IF(0=LEN(ReferenceData!$AP$166),"",ReferenceData!$AP$166),"")</f>
        <v/>
      </c>
      <c r="AQ166" t="str">
        <f ca="1">IFERROR(IF(0=LEN(ReferenceData!$AQ$166),"",ReferenceData!$AQ$166),"")</f>
        <v/>
      </c>
      <c r="AR166" t="str">
        <f ca="1">IFERROR(IF(0=LEN(ReferenceData!$AR$166),"",ReferenceData!$AR$166),"")</f>
        <v/>
      </c>
      <c r="AS166" t="str">
        <f ca="1">IFERROR(IF(0=LEN(ReferenceData!$AS$166),"",ReferenceData!$AS$166),"")</f>
        <v/>
      </c>
      <c r="AT166" t="str">
        <f ca="1">IFERROR(IF(0=LEN(ReferenceData!$AT$166),"",ReferenceData!$AT$166),"")</f>
        <v/>
      </c>
      <c r="AU166" t="str">
        <f ca="1">IFERROR(IF(0=LEN(ReferenceData!$AU$166),"",ReferenceData!$AU$166),"")</f>
        <v/>
      </c>
      <c r="AV166" t="str">
        <f ca="1">IFERROR(IF(0=LEN(ReferenceData!$AV$166),"",ReferenceData!$AV$166),"")</f>
        <v/>
      </c>
      <c r="AW166" t="str">
        <f ca="1">IFERROR(IF(0=LEN(ReferenceData!$AW$166),"",ReferenceData!$AW$166),"")</f>
        <v/>
      </c>
      <c r="AX166" t="str">
        <f ca="1">IFERROR(IF(0=LEN(ReferenceData!$AX$166),"",ReferenceData!$AX$166),"")</f>
        <v/>
      </c>
      <c r="AY166" t="str">
        <f ca="1">IFERROR(IF(0=LEN(ReferenceData!$AY$166),"",ReferenceData!$AY$166),"")</f>
        <v/>
      </c>
      <c r="AZ166" t="str">
        <f ca="1">IFERROR(IF(0=LEN(ReferenceData!$AZ$166),"",ReferenceData!$AZ$166),"")</f>
        <v/>
      </c>
      <c r="BA166" t="str">
        <f ca="1">IFERROR(IF(0=LEN(ReferenceData!$BA$166),"",ReferenceData!$BA$166),"")</f>
        <v/>
      </c>
      <c r="BB166" t="str">
        <f ca="1">IFERROR(IF(0=LEN(ReferenceData!$BB$166),"",ReferenceData!$BB$166),"")</f>
        <v/>
      </c>
      <c r="BC166" t="str">
        <f ca="1">IFERROR(IF(0=LEN(ReferenceData!$BC$166),"",ReferenceData!$BC$166),"")</f>
        <v/>
      </c>
      <c r="BD166" t="str">
        <f ca="1">IFERROR(IF(0=LEN(ReferenceData!$BD$166),"",ReferenceData!$BD$166),"")</f>
        <v/>
      </c>
      <c r="BE166" t="str">
        <f ca="1">IFERROR(IF(0=LEN(ReferenceData!$BE$166),"",ReferenceData!$BE$166),"")</f>
        <v/>
      </c>
      <c r="BF166" t="str">
        <f ca="1">IFERROR(IF(0=LEN(ReferenceData!$BF$166),"",ReferenceData!$BF$166),"")</f>
        <v/>
      </c>
      <c r="BG166" t="str">
        <f ca="1">IFERROR(IF(0=LEN(ReferenceData!$BG$166),"",ReferenceData!$BG$166),"")</f>
        <v/>
      </c>
      <c r="BH166" t="str">
        <f ca="1">IFERROR(IF(0=LEN(ReferenceData!$BH$166),"",ReferenceData!$BH$166),"")</f>
        <v/>
      </c>
      <c r="BI166" t="str">
        <f ca="1">IFERROR(IF(0=LEN(ReferenceData!$BI$166),"",ReferenceData!$BI$166),"")</f>
        <v/>
      </c>
      <c r="BJ166" t="str">
        <f ca="1">IFERROR(IF(0=LEN(ReferenceData!$BJ$166),"",ReferenceData!$BJ$166),"")</f>
        <v/>
      </c>
      <c r="BK166" t="str">
        <f ca="1">IFERROR(IF(0=LEN(ReferenceData!$BK$166),"",ReferenceData!$BK$166),"")</f>
        <v/>
      </c>
      <c r="BL166" t="str">
        <f ca="1">IFERROR(IF(0=LEN(ReferenceData!$BL$166),"",ReferenceData!$BL$166),"")</f>
        <v/>
      </c>
      <c r="BM166" t="str">
        <f ca="1">IFERROR(IF(0=LEN(ReferenceData!$BM$166),"",ReferenceData!$BM$166),"")</f>
        <v/>
      </c>
    </row>
    <row r="167" spans="1:65">
      <c r="A167" t="str">
        <f>IFERROR(IF(0=LEN(ReferenceData!$A$167),"",ReferenceData!$A$167),"")</f>
        <v xml:space="preserve">    Wells Fargo &amp; Co</v>
      </c>
      <c r="B167" t="str">
        <f>IFERROR(IF(0=LEN(ReferenceData!$B$167),"",ReferenceData!$B$167),"")</f>
        <v>WFC US Equity</v>
      </c>
      <c r="C167" t="str">
        <f>IFERROR(IF(0=LEN(ReferenceData!$C$167),"",ReferenceData!$C$167),"")</f>
        <v>BS963</v>
      </c>
      <c r="D167" t="str">
        <f>IFERROR(IF(0=LEN(ReferenceData!$D$167),"",ReferenceData!$D$167),"")</f>
        <v>BS_COMML_MTG_SERVICED_OTHERS</v>
      </c>
      <c r="E167" t="str">
        <f>IFERROR(IF(0=LEN(ReferenceData!$E$167),"",ReferenceData!$E$167),"")</f>
        <v>Dynamic</v>
      </c>
      <c r="F167">
        <f ca="1">IFERROR(IF(0=LEN(ReferenceData!$F$167),"",ReferenceData!$F$167),"")</f>
        <v>531000</v>
      </c>
      <c r="G167">
        <f ca="1">IFERROR(IF(0=LEN(ReferenceData!$G$167),"",ReferenceData!$G$167),"")</f>
        <v>539000</v>
      </c>
      <c r="H167">
        <f ca="1">IFERROR(IF(0=LEN(ReferenceData!$H$167),"",ReferenceData!$H$167),"")</f>
        <v>543000</v>
      </c>
      <c r="I167">
        <f ca="1">IFERROR(IF(0=LEN(ReferenceData!$I$167),"",ReferenceData!$I$167),"")</f>
        <v>545000</v>
      </c>
      <c r="J167">
        <f ca="1">IFERROR(IF(0=LEN(ReferenceData!$J$167),"",ReferenceData!$J$167),"")</f>
        <v>548000</v>
      </c>
      <c r="K167">
        <f ca="1">IFERROR(IF(0=LEN(ReferenceData!$K$167),"",ReferenceData!$K$167),"")</f>
        <v>554000</v>
      </c>
      <c r="L167">
        <f ca="1">IFERROR(IF(0=LEN(ReferenceData!$L$167),"",ReferenceData!$L$167),"")</f>
        <v>562000</v>
      </c>
      <c r="M167">
        <f ca="1">IFERROR(IF(0=LEN(ReferenceData!$M$167),"",ReferenceData!$M$167),"")</f>
        <v>571000</v>
      </c>
      <c r="N167">
        <f ca="1">IFERROR(IF(0=LEN(ReferenceData!$N$167),"",ReferenceData!$N$167),"")</f>
        <v>577000</v>
      </c>
      <c r="O167">
        <f ca="1">IFERROR(IF(0=LEN(ReferenceData!$O$167),"",ReferenceData!$O$167),"")</f>
        <v>586000</v>
      </c>
      <c r="P167">
        <f ca="1">IFERROR(IF(0=LEN(ReferenceData!$P$167),"",ReferenceData!$P$167),"")</f>
        <v>595000</v>
      </c>
      <c r="Q167">
        <f ca="1">IFERROR(IF(0=LEN(ReferenceData!$Q$167),"",ReferenceData!$Q$167),"")</f>
        <v>598000</v>
      </c>
      <c r="R167">
        <f ca="1">IFERROR(IF(0=LEN(ReferenceData!$R$167),"",ReferenceData!$R$167),"")</f>
        <v>597000</v>
      </c>
      <c r="S167">
        <f ca="1">IFERROR(IF(0=LEN(ReferenceData!$S$167),"",ReferenceData!$S$167),"")</f>
        <v>586000</v>
      </c>
      <c r="T167">
        <f ca="1">IFERROR(IF(0=LEN(ReferenceData!$T$167),"",ReferenceData!$T$167),"")</f>
        <v>584000</v>
      </c>
      <c r="U167">
        <f ca="1">IFERROR(IF(0=LEN(ReferenceData!$U$167),"",ReferenceData!$U$167),"")</f>
        <v>581000</v>
      </c>
      <c r="V167">
        <f ca="1">IFERROR(IF(0=LEN(ReferenceData!$V$167),"",ReferenceData!$V$167),"")</f>
        <v>583000</v>
      </c>
      <c r="W167">
        <f ca="1">IFERROR(IF(0=LEN(ReferenceData!$W$167),"",ReferenceData!$W$167),"")</f>
        <v>579000</v>
      </c>
      <c r="X167">
        <f ca="1">IFERROR(IF(0=LEN(ReferenceData!$X$167),"",ReferenceData!$X$167),"")</f>
        <v>578000</v>
      </c>
      <c r="Y167">
        <f ca="1">IFERROR(IF(0=LEN(ReferenceData!$Y$167),"",ReferenceData!$Y$167),"")</f>
        <v>573000</v>
      </c>
      <c r="Z167">
        <f ca="1">IFERROR(IF(0=LEN(ReferenceData!$Z$167),"",ReferenceData!$Z$167),"")</f>
        <v>566000</v>
      </c>
      <c r="AA167">
        <f ca="1">IFERROR(IF(0=LEN(ReferenceData!$AA$167),"",ReferenceData!$AA$167),"")</f>
        <v>560000</v>
      </c>
      <c r="AB167">
        <f ca="1">IFERROR(IF(0=LEN(ReferenceData!$AB$167),"",ReferenceData!$AB$167),"")</f>
        <v>557000</v>
      </c>
      <c r="AC167">
        <f ca="1">IFERROR(IF(0=LEN(ReferenceData!$AC$167),"",ReferenceData!$AC$167),"")</f>
        <v>552000</v>
      </c>
      <c r="AD167">
        <f ca="1">IFERROR(IF(0=LEN(ReferenceData!$AD$167),"",ReferenceData!$AD$167),"")</f>
        <v>543</v>
      </c>
      <c r="AE167">
        <f ca="1">IFERROR(IF(0=LEN(ReferenceData!$AE$167),"",ReferenceData!$AE$167),"")</f>
        <v>529000</v>
      </c>
      <c r="AF167">
        <f ca="1">IFERROR(IF(0=LEN(ReferenceData!$AF$167),"",ReferenceData!$AF$167),"")</f>
        <v>518000</v>
      </c>
      <c r="AG167">
        <f ca="1">IFERROR(IF(0=LEN(ReferenceData!$AG$167),"",ReferenceData!$AG$167),"")</f>
        <v>510000</v>
      </c>
      <c r="AH167">
        <f ca="1">IFERROR(IF(0=LEN(ReferenceData!$AH$167),"",ReferenceData!$AH$167),"")</f>
        <v>495000</v>
      </c>
      <c r="AI167">
        <f ca="1">IFERROR(IF(0=LEN(ReferenceData!$AI$167),"",ReferenceData!$AI$167),"")</f>
        <v>480000</v>
      </c>
      <c r="AJ167">
        <f ca="1">IFERROR(IF(0=LEN(ReferenceData!$AJ$167),"",ReferenceData!$AJ$167),"")</f>
        <v>475000</v>
      </c>
      <c r="AK167">
        <f ca="1">IFERROR(IF(0=LEN(ReferenceData!$AK$167),"",ReferenceData!$AK$167),"")</f>
        <v>474000</v>
      </c>
      <c r="AL167">
        <f ca="1">IFERROR(IF(0=LEN(ReferenceData!$AL$167),"",ReferenceData!$AL$167),"")</f>
        <v>479000</v>
      </c>
      <c r="AM167">
        <f ca="1">IFERROR(IF(0=LEN(ReferenceData!$AM$167),"",ReferenceData!$AM$167),"")</f>
        <v>477000</v>
      </c>
      <c r="AN167">
        <f ca="1">IFERROR(IF(0=LEN(ReferenceData!$AN$167),"",ReferenceData!$AN$167),"")</f>
        <v>478000</v>
      </c>
      <c r="AO167">
        <f ca="1">IFERROR(IF(0=LEN(ReferenceData!$AO$167),"",ReferenceData!$AO$167),"")</f>
        <v>485000</v>
      </c>
      <c r="AP167">
        <f ca="1">IFERROR(IF(0=LEN(ReferenceData!$AP$167),"",ReferenceData!$AP$167),"")</f>
        <v>478000</v>
      </c>
      <c r="AQ167">
        <f ca="1">IFERROR(IF(0=LEN(ReferenceData!$AQ$167),"",ReferenceData!$AQ$167),"")</f>
        <v>470000</v>
      </c>
      <c r="AR167">
        <f ca="1">IFERROR(IF(0=LEN(ReferenceData!$AR$167),"",ReferenceData!$AR$167),"")</f>
        <v>465000</v>
      </c>
      <c r="AS167">
        <f ca="1">IFERROR(IF(0=LEN(ReferenceData!$AS$167),"",ReferenceData!$AS$167),"")</f>
        <v>461000</v>
      </c>
      <c r="AT167">
        <f ca="1">IFERROR(IF(0=LEN(ReferenceData!$AT$167),"",ReferenceData!$AT$167),"")</f>
        <v>456000</v>
      </c>
      <c r="AU167">
        <f ca="1">IFERROR(IF(0=LEN(ReferenceData!$AU$167),"",ReferenceData!$AU$167),"")</f>
        <v>440000</v>
      </c>
      <c r="AV167">
        <f ca="1">IFERROR(IF(0=LEN(ReferenceData!$AV$167),"",ReferenceData!$AV$167),"")</f>
        <v>429000</v>
      </c>
      <c r="AW167">
        <f ca="1">IFERROR(IF(0=LEN(ReferenceData!$AW$167),"",ReferenceData!$AW$167),"")</f>
        <v>424000</v>
      </c>
      <c r="AX167">
        <f ca="1">IFERROR(IF(0=LEN(ReferenceData!$AX$167),"",ReferenceData!$AX$167),"")</f>
        <v>419000</v>
      </c>
      <c r="AY167">
        <f ca="1">IFERROR(IF(0=LEN(ReferenceData!$AY$167),"",ReferenceData!$AY$167),"")</f>
        <v>416000</v>
      </c>
      <c r="AZ167">
        <f ca="1">IFERROR(IF(0=LEN(ReferenceData!$AZ$167),"",ReferenceData!$AZ$167),"")</f>
        <v>409000</v>
      </c>
      <c r="BA167">
        <f ca="1">IFERROR(IF(0=LEN(ReferenceData!$BA$167),"",ReferenceData!$BA$167),"")</f>
        <v>404000</v>
      </c>
      <c r="BB167">
        <f ca="1">IFERROR(IF(0=LEN(ReferenceData!$BB$167),"",ReferenceData!$BB$167),"")</f>
        <v>408000</v>
      </c>
      <c r="BC167">
        <f ca="1">IFERROR(IF(0=LEN(ReferenceData!$BC$167),"",ReferenceData!$BC$167),"")</f>
        <v>405000</v>
      </c>
      <c r="BD167">
        <f ca="1">IFERROR(IF(0=LEN(ReferenceData!$BD$167),"",ReferenceData!$BD$167),"")</f>
        <v>406000</v>
      </c>
      <c r="BE167">
        <f ca="1">IFERROR(IF(0=LEN(ReferenceData!$BE$167),"",ReferenceData!$BE$167),"")</f>
        <v>407000</v>
      </c>
      <c r="BF167">
        <f ca="1">IFERROR(IF(0=LEN(ReferenceData!$BF$167),"",ReferenceData!$BF$167),"")</f>
        <v>398000</v>
      </c>
      <c r="BG167">
        <f ca="1">IFERROR(IF(0=LEN(ReferenceData!$BG$167),"",ReferenceData!$BG$167),"")</f>
        <v>401000</v>
      </c>
      <c r="BH167">
        <f ca="1">IFERROR(IF(0=LEN(ReferenceData!$BH$167),"",ReferenceData!$BH$167),"")</f>
        <v>402000</v>
      </c>
      <c r="BI167">
        <f ca="1">IFERROR(IF(0=LEN(ReferenceData!$BI$167),"",ReferenceData!$BI$167),"")</f>
        <v>406000</v>
      </c>
      <c r="BJ167">
        <f ca="1">IFERROR(IF(0=LEN(ReferenceData!$BJ$167),"",ReferenceData!$BJ$167),"")</f>
        <v>408000</v>
      </c>
      <c r="BK167">
        <f ca="1">IFERROR(IF(0=LEN(ReferenceData!$BK$167),"",ReferenceData!$BK$167),"")</f>
        <v>439000</v>
      </c>
      <c r="BL167">
        <f ca="1">IFERROR(IF(0=LEN(ReferenceData!$BL$167),"",ReferenceData!$BL$167),"")</f>
        <v>441000</v>
      </c>
      <c r="BM167" t="str">
        <f ca="1">IFERROR(IF(0=LEN(ReferenceData!$BM$167),"",ReferenceData!$BM$167),"")</f>
        <v/>
      </c>
    </row>
    <row r="168" spans="1:65">
      <c r="A168" t="str">
        <f>IFERROR(IF(0=LEN(ReferenceData!$A$168),"",ReferenceData!$A$168),"")</f>
        <v xml:space="preserve">    Western Alliance Bancorp</v>
      </c>
      <c r="B168" t="str">
        <f>IFERROR(IF(0=LEN(ReferenceData!$B$168),"",ReferenceData!$B$168),"")</f>
        <v>WAL US Equity</v>
      </c>
      <c r="C168" t="str">
        <f>IFERROR(IF(0=LEN(ReferenceData!$C$168),"",ReferenceData!$C$168),"")</f>
        <v>BS963</v>
      </c>
      <c r="D168" t="str">
        <f>IFERROR(IF(0=LEN(ReferenceData!$D$168),"",ReferenceData!$D$168),"")</f>
        <v>BS_COMML_MTG_SERVICED_OTHERS</v>
      </c>
      <c r="E168" t="str">
        <f>IFERROR(IF(0=LEN(ReferenceData!$E$168),"",ReferenceData!$E$168),"")</f>
        <v>Dynamic</v>
      </c>
      <c r="F168" t="str">
        <f ca="1">IFERROR(IF(0=LEN(ReferenceData!$F$168),"",ReferenceData!$F$168),"")</f>
        <v/>
      </c>
      <c r="G168" t="str">
        <f ca="1">IFERROR(IF(0=LEN(ReferenceData!$G$168),"",ReferenceData!$G$168),"")</f>
        <v/>
      </c>
      <c r="H168" t="str">
        <f ca="1">IFERROR(IF(0=LEN(ReferenceData!$H$168),"",ReferenceData!$H$168),"")</f>
        <v/>
      </c>
      <c r="I168" t="str">
        <f ca="1">IFERROR(IF(0=LEN(ReferenceData!$I$168),"",ReferenceData!$I$168),"")</f>
        <v/>
      </c>
      <c r="J168" t="str">
        <f ca="1">IFERROR(IF(0=LEN(ReferenceData!$J$168),"",ReferenceData!$J$168),"")</f>
        <v/>
      </c>
      <c r="K168" t="str">
        <f ca="1">IFERROR(IF(0=LEN(ReferenceData!$K$168),"",ReferenceData!$K$168),"")</f>
        <v/>
      </c>
      <c r="L168" t="str">
        <f ca="1">IFERROR(IF(0=LEN(ReferenceData!$L$168),"",ReferenceData!$L$168),"")</f>
        <v/>
      </c>
      <c r="M168" t="str">
        <f ca="1">IFERROR(IF(0=LEN(ReferenceData!$M$168),"",ReferenceData!$M$168),"")</f>
        <v/>
      </c>
      <c r="N168" t="str">
        <f ca="1">IFERROR(IF(0=LEN(ReferenceData!$N$168),"",ReferenceData!$N$168),"")</f>
        <v/>
      </c>
      <c r="O168" t="str">
        <f ca="1">IFERROR(IF(0=LEN(ReferenceData!$O$168),"",ReferenceData!$O$168),"")</f>
        <v/>
      </c>
      <c r="P168" t="str">
        <f ca="1">IFERROR(IF(0=LEN(ReferenceData!$P$168),"",ReferenceData!$P$168),"")</f>
        <v/>
      </c>
      <c r="Q168" t="str">
        <f ca="1">IFERROR(IF(0=LEN(ReferenceData!$Q$168),"",ReferenceData!$Q$168),"")</f>
        <v/>
      </c>
      <c r="R168" t="str">
        <f ca="1">IFERROR(IF(0=LEN(ReferenceData!$R$168),"",ReferenceData!$R$168),"")</f>
        <v/>
      </c>
      <c r="S168" t="str">
        <f ca="1">IFERROR(IF(0=LEN(ReferenceData!$S$168),"",ReferenceData!$S$168),"")</f>
        <v/>
      </c>
      <c r="T168" t="str">
        <f ca="1">IFERROR(IF(0=LEN(ReferenceData!$T$168),"",ReferenceData!$T$168),"")</f>
        <v/>
      </c>
      <c r="U168" t="str">
        <f ca="1">IFERROR(IF(0=LEN(ReferenceData!$U$168),"",ReferenceData!$U$168),"")</f>
        <v/>
      </c>
      <c r="V168" t="str">
        <f ca="1">IFERROR(IF(0=LEN(ReferenceData!$V$168),"",ReferenceData!$V$168),"")</f>
        <v/>
      </c>
      <c r="W168" t="str">
        <f ca="1">IFERROR(IF(0=LEN(ReferenceData!$W$168),"",ReferenceData!$W$168),"")</f>
        <v/>
      </c>
      <c r="X168" t="str">
        <f ca="1">IFERROR(IF(0=LEN(ReferenceData!$X$168),"",ReferenceData!$X$168),"")</f>
        <v/>
      </c>
      <c r="Y168" t="str">
        <f ca="1">IFERROR(IF(0=LEN(ReferenceData!$Y$168),"",ReferenceData!$Y$168),"")</f>
        <v/>
      </c>
      <c r="Z168" t="str">
        <f ca="1">IFERROR(IF(0=LEN(ReferenceData!$Z$168),"",ReferenceData!$Z$168),"")</f>
        <v/>
      </c>
      <c r="AA168" t="str">
        <f ca="1">IFERROR(IF(0=LEN(ReferenceData!$AA$168),"",ReferenceData!$AA$168),"")</f>
        <v/>
      </c>
      <c r="AB168" t="str">
        <f ca="1">IFERROR(IF(0=LEN(ReferenceData!$AB$168),"",ReferenceData!$AB$168),"")</f>
        <v/>
      </c>
      <c r="AC168" t="str">
        <f ca="1">IFERROR(IF(0=LEN(ReferenceData!$AC$168),"",ReferenceData!$AC$168),"")</f>
        <v/>
      </c>
      <c r="AD168" t="str">
        <f ca="1">IFERROR(IF(0=LEN(ReferenceData!$AD$168),"",ReferenceData!$AD$168),"")</f>
        <v/>
      </c>
      <c r="AE168" t="str">
        <f ca="1">IFERROR(IF(0=LEN(ReferenceData!$AE$168),"",ReferenceData!$AE$168),"")</f>
        <v/>
      </c>
      <c r="AF168" t="str">
        <f ca="1">IFERROR(IF(0=LEN(ReferenceData!$AF$168),"",ReferenceData!$AF$168),"")</f>
        <v/>
      </c>
      <c r="AG168" t="str">
        <f ca="1">IFERROR(IF(0=LEN(ReferenceData!$AG$168),"",ReferenceData!$AG$168),"")</f>
        <v/>
      </c>
      <c r="AH168" t="str">
        <f ca="1">IFERROR(IF(0=LEN(ReferenceData!$AH$168),"",ReferenceData!$AH$168),"")</f>
        <v/>
      </c>
      <c r="AI168" t="str">
        <f ca="1">IFERROR(IF(0=LEN(ReferenceData!$AI$168),"",ReferenceData!$AI$168),"")</f>
        <v/>
      </c>
      <c r="AJ168" t="str">
        <f ca="1">IFERROR(IF(0=LEN(ReferenceData!$AJ$168),"",ReferenceData!$AJ$168),"")</f>
        <v/>
      </c>
      <c r="AK168" t="str">
        <f ca="1">IFERROR(IF(0=LEN(ReferenceData!$AK$168),"",ReferenceData!$AK$168),"")</f>
        <v/>
      </c>
      <c r="AL168" t="str">
        <f ca="1">IFERROR(IF(0=LEN(ReferenceData!$AL$168),"",ReferenceData!$AL$168),"")</f>
        <v/>
      </c>
      <c r="AM168" t="str">
        <f ca="1">IFERROR(IF(0=LEN(ReferenceData!$AM$168),"",ReferenceData!$AM$168),"")</f>
        <v/>
      </c>
      <c r="AN168" t="str">
        <f ca="1">IFERROR(IF(0=LEN(ReferenceData!$AN$168),"",ReferenceData!$AN$168),"")</f>
        <v/>
      </c>
      <c r="AO168" t="str">
        <f ca="1">IFERROR(IF(0=LEN(ReferenceData!$AO$168),"",ReferenceData!$AO$168),"")</f>
        <v/>
      </c>
      <c r="AP168" t="str">
        <f ca="1">IFERROR(IF(0=LEN(ReferenceData!$AP$168),"",ReferenceData!$AP$168),"")</f>
        <v/>
      </c>
      <c r="AQ168" t="str">
        <f ca="1">IFERROR(IF(0=LEN(ReferenceData!$AQ$168),"",ReferenceData!$AQ$168),"")</f>
        <v/>
      </c>
      <c r="AR168" t="str">
        <f ca="1">IFERROR(IF(0=LEN(ReferenceData!$AR$168),"",ReferenceData!$AR$168),"")</f>
        <v/>
      </c>
      <c r="AS168" t="str">
        <f ca="1">IFERROR(IF(0=LEN(ReferenceData!$AS$168),"",ReferenceData!$AS$168),"")</f>
        <v/>
      </c>
      <c r="AT168" t="str">
        <f ca="1">IFERROR(IF(0=LEN(ReferenceData!$AT$168),"",ReferenceData!$AT$168),"")</f>
        <v/>
      </c>
      <c r="AU168" t="str">
        <f ca="1">IFERROR(IF(0=LEN(ReferenceData!$AU$168),"",ReferenceData!$AU$168),"")</f>
        <v/>
      </c>
      <c r="AV168" t="str">
        <f ca="1">IFERROR(IF(0=LEN(ReferenceData!$AV$168),"",ReferenceData!$AV$168),"")</f>
        <v/>
      </c>
      <c r="AW168" t="str">
        <f ca="1">IFERROR(IF(0=LEN(ReferenceData!$AW$168),"",ReferenceData!$AW$168),"")</f>
        <v/>
      </c>
      <c r="AX168" t="str">
        <f ca="1">IFERROR(IF(0=LEN(ReferenceData!$AX$168),"",ReferenceData!$AX$168),"")</f>
        <v/>
      </c>
      <c r="AY168" t="str">
        <f ca="1">IFERROR(IF(0=LEN(ReferenceData!$AY$168),"",ReferenceData!$AY$168),"")</f>
        <v/>
      </c>
      <c r="AZ168" t="str">
        <f ca="1">IFERROR(IF(0=LEN(ReferenceData!$AZ$168),"",ReferenceData!$AZ$168),"")</f>
        <v/>
      </c>
      <c r="BA168" t="str">
        <f ca="1">IFERROR(IF(0=LEN(ReferenceData!$BA$168),"",ReferenceData!$BA$168),"")</f>
        <v/>
      </c>
      <c r="BB168" t="str">
        <f ca="1">IFERROR(IF(0=LEN(ReferenceData!$BB$168),"",ReferenceData!$BB$168),"")</f>
        <v/>
      </c>
      <c r="BC168" t="str">
        <f ca="1">IFERROR(IF(0=LEN(ReferenceData!$BC$168),"",ReferenceData!$BC$168),"")</f>
        <v/>
      </c>
      <c r="BD168" t="str">
        <f ca="1">IFERROR(IF(0=LEN(ReferenceData!$BD$168),"",ReferenceData!$BD$168),"")</f>
        <v/>
      </c>
      <c r="BE168" t="str">
        <f ca="1">IFERROR(IF(0=LEN(ReferenceData!$BE$168),"",ReferenceData!$BE$168),"")</f>
        <v/>
      </c>
      <c r="BF168" t="str">
        <f ca="1">IFERROR(IF(0=LEN(ReferenceData!$BF$168),"",ReferenceData!$BF$168),"")</f>
        <v/>
      </c>
      <c r="BG168" t="str">
        <f ca="1">IFERROR(IF(0=LEN(ReferenceData!$BG$168),"",ReferenceData!$BG$168),"")</f>
        <v/>
      </c>
      <c r="BH168" t="str">
        <f ca="1">IFERROR(IF(0=LEN(ReferenceData!$BH$168),"",ReferenceData!$BH$168),"")</f>
        <v/>
      </c>
      <c r="BI168" t="str">
        <f ca="1">IFERROR(IF(0=LEN(ReferenceData!$BI$168),"",ReferenceData!$BI$168),"")</f>
        <v/>
      </c>
      <c r="BJ168" t="str">
        <f ca="1">IFERROR(IF(0=LEN(ReferenceData!$BJ$168),"",ReferenceData!$BJ$168),"")</f>
        <v/>
      </c>
      <c r="BK168" t="str">
        <f ca="1">IFERROR(IF(0=LEN(ReferenceData!$BK$168),"",ReferenceData!$BK$168),"")</f>
        <v/>
      </c>
      <c r="BL168" t="str">
        <f ca="1">IFERROR(IF(0=LEN(ReferenceData!$BL$168),"",ReferenceData!$BL$168),"")</f>
        <v/>
      </c>
      <c r="BM168" t="str">
        <f ca="1">IFERROR(IF(0=LEN(ReferenceData!$BM$168),"",ReferenceData!$BM$168),"")</f>
        <v/>
      </c>
    </row>
    <row r="169" spans="1:65">
      <c r="A169" t="str">
        <f>IFERROR(IF(0=LEN(ReferenceData!$A$169),"",ReferenceData!$A$169),"")</f>
        <v xml:space="preserve">    Zions Bancorp NA</v>
      </c>
      <c r="B169" t="str">
        <f>IFERROR(IF(0=LEN(ReferenceData!$B$169),"",ReferenceData!$B$169),"")</f>
        <v>ZION US Equity</v>
      </c>
      <c r="C169" t="str">
        <f>IFERROR(IF(0=LEN(ReferenceData!$C$169),"",ReferenceData!$C$169),"")</f>
        <v>BS963</v>
      </c>
      <c r="D169" t="str">
        <f>IFERROR(IF(0=LEN(ReferenceData!$D$169),"",ReferenceData!$D$169),"")</f>
        <v>BS_COMML_MTG_SERVICED_OTHERS</v>
      </c>
      <c r="E169" t="str">
        <f>IFERROR(IF(0=LEN(ReferenceData!$E$169),"",ReferenceData!$E$169),"")</f>
        <v>Dynamic</v>
      </c>
      <c r="F169" t="str">
        <f ca="1">IFERROR(IF(0=LEN(ReferenceData!$F$169),"",ReferenceData!$F$169),"")</f>
        <v/>
      </c>
      <c r="G169" t="str">
        <f ca="1">IFERROR(IF(0=LEN(ReferenceData!$G$169),"",ReferenceData!$G$169),"")</f>
        <v/>
      </c>
      <c r="H169" t="str">
        <f ca="1">IFERROR(IF(0=LEN(ReferenceData!$H$169),"",ReferenceData!$H$169),"")</f>
        <v/>
      </c>
      <c r="I169" t="str">
        <f ca="1">IFERROR(IF(0=LEN(ReferenceData!$I$169),"",ReferenceData!$I$169),"")</f>
        <v/>
      </c>
      <c r="J169" t="str">
        <f ca="1">IFERROR(IF(0=LEN(ReferenceData!$J$169),"",ReferenceData!$J$169),"")</f>
        <v/>
      </c>
      <c r="K169" t="str">
        <f ca="1">IFERROR(IF(0=LEN(ReferenceData!$K$169),"",ReferenceData!$K$169),"")</f>
        <v/>
      </c>
      <c r="L169" t="str">
        <f ca="1">IFERROR(IF(0=LEN(ReferenceData!$L$169),"",ReferenceData!$L$169),"")</f>
        <v/>
      </c>
      <c r="M169" t="str">
        <f ca="1">IFERROR(IF(0=LEN(ReferenceData!$M$169),"",ReferenceData!$M$169),"")</f>
        <v/>
      </c>
      <c r="N169" t="str">
        <f ca="1">IFERROR(IF(0=LEN(ReferenceData!$N$169),"",ReferenceData!$N$169),"")</f>
        <v/>
      </c>
      <c r="O169" t="str">
        <f ca="1">IFERROR(IF(0=LEN(ReferenceData!$O$169),"",ReferenceData!$O$169),"")</f>
        <v/>
      </c>
      <c r="P169" t="str">
        <f ca="1">IFERROR(IF(0=LEN(ReferenceData!$P$169),"",ReferenceData!$P$169),"")</f>
        <v/>
      </c>
      <c r="Q169" t="str">
        <f ca="1">IFERROR(IF(0=LEN(ReferenceData!$Q$169),"",ReferenceData!$Q$169),"")</f>
        <v/>
      </c>
      <c r="R169" t="str">
        <f ca="1">IFERROR(IF(0=LEN(ReferenceData!$R$169),"",ReferenceData!$R$169),"")</f>
        <v/>
      </c>
      <c r="S169" t="str">
        <f ca="1">IFERROR(IF(0=LEN(ReferenceData!$S$169),"",ReferenceData!$S$169),"")</f>
        <v/>
      </c>
      <c r="T169" t="str">
        <f ca="1">IFERROR(IF(0=LEN(ReferenceData!$T$169),"",ReferenceData!$T$169),"")</f>
        <v/>
      </c>
      <c r="U169" t="str">
        <f ca="1">IFERROR(IF(0=LEN(ReferenceData!$U$169),"",ReferenceData!$U$169),"")</f>
        <v/>
      </c>
      <c r="V169" t="str">
        <f ca="1">IFERROR(IF(0=LEN(ReferenceData!$V$169),"",ReferenceData!$V$169),"")</f>
        <v/>
      </c>
      <c r="W169" t="str">
        <f ca="1">IFERROR(IF(0=LEN(ReferenceData!$W$169),"",ReferenceData!$W$169),"")</f>
        <v/>
      </c>
      <c r="X169" t="str">
        <f ca="1">IFERROR(IF(0=LEN(ReferenceData!$X$169),"",ReferenceData!$X$169),"")</f>
        <v/>
      </c>
      <c r="Y169" t="str">
        <f ca="1">IFERROR(IF(0=LEN(ReferenceData!$Y$169),"",ReferenceData!$Y$169),"")</f>
        <v/>
      </c>
      <c r="Z169" t="str">
        <f ca="1">IFERROR(IF(0=LEN(ReferenceData!$Z$169),"",ReferenceData!$Z$169),"")</f>
        <v/>
      </c>
      <c r="AA169" t="str">
        <f ca="1">IFERROR(IF(0=LEN(ReferenceData!$AA$169),"",ReferenceData!$AA$169),"")</f>
        <v/>
      </c>
      <c r="AB169" t="str">
        <f ca="1">IFERROR(IF(0=LEN(ReferenceData!$AB$169),"",ReferenceData!$AB$169),"")</f>
        <v/>
      </c>
      <c r="AC169" t="str">
        <f ca="1">IFERROR(IF(0=LEN(ReferenceData!$AC$169),"",ReferenceData!$AC$169),"")</f>
        <v/>
      </c>
      <c r="AD169" t="str">
        <f ca="1">IFERROR(IF(0=LEN(ReferenceData!$AD$169),"",ReferenceData!$AD$169),"")</f>
        <v/>
      </c>
      <c r="AE169" t="str">
        <f ca="1">IFERROR(IF(0=LEN(ReferenceData!$AE$169),"",ReferenceData!$AE$169),"")</f>
        <v/>
      </c>
      <c r="AF169" t="str">
        <f ca="1">IFERROR(IF(0=LEN(ReferenceData!$AF$169),"",ReferenceData!$AF$169),"")</f>
        <v/>
      </c>
      <c r="AG169" t="str">
        <f ca="1">IFERROR(IF(0=LEN(ReferenceData!$AG$169),"",ReferenceData!$AG$169),"")</f>
        <v/>
      </c>
      <c r="AH169" t="str">
        <f ca="1">IFERROR(IF(0=LEN(ReferenceData!$AH$169),"",ReferenceData!$AH$169),"")</f>
        <v/>
      </c>
      <c r="AI169" t="str">
        <f ca="1">IFERROR(IF(0=LEN(ReferenceData!$AI$169),"",ReferenceData!$AI$169),"")</f>
        <v/>
      </c>
      <c r="AJ169" t="str">
        <f ca="1">IFERROR(IF(0=LEN(ReferenceData!$AJ$169),"",ReferenceData!$AJ$169),"")</f>
        <v/>
      </c>
      <c r="AK169" t="str">
        <f ca="1">IFERROR(IF(0=LEN(ReferenceData!$AK$169),"",ReferenceData!$AK$169),"")</f>
        <v/>
      </c>
      <c r="AL169" t="str">
        <f ca="1">IFERROR(IF(0=LEN(ReferenceData!$AL$169),"",ReferenceData!$AL$169),"")</f>
        <v/>
      </c>
      <c r="AM169" t="str">
        <f ca="1">IFERROR(IF(0=LEN(ReferenceData!$AM$169),"",ReferenceData!$AM$169),"")</f>
        <v/>
      </c>
      <c r="AN169" t="str">
        <f ca="1">IFERROR(IF(0=LEN(ReferenceData!$AN$169),"",ReferenceData!$AN$169),"")</f>
        <v/>
      </c>
      <c r="AO169" t="str">
        <f ca="1">IFERROR(IF(0=LEN(ReferenceData!$AO$169),"",ReferenceData!$AO$169),"")</f>
        <v/>
      </c>
      <c r="AP169" t="str">
        <f ca="1">IFERROR(IF(0=LEN(ReferenceData!$AP$169),"",ReferenceData!$AP$169),"")</f>
        <v/>
      </c>
      <c r="AQ169" t="str">
        <f ca="1">IFERROR(IF(0=LEN(ReferenceData!$AQ$169),"",ReferenceData!$AQ$169),"")</f>
        <v/>
      </c>
      <c r="AR169" t="str">
        <f ca="1">IFERROR(IF(0=LEN(ReferenceData!$AR$169),"",ReferenceData!$AR$169),"")</f>
        <v/>
      </c>
      <c r="AS169" t="str">
        <f ca="1">IFERROR(IF(0=LEN(ReferenceData!$AS$169),"",ReferenceData!$AS$169),"")</f>
        <v/>
      </c>
      <c r="AT169" t="str">
        <f ca="1">IFERROR(IF(0=LEN(ReferenceData!$AT$169),"",ReferenceData!$AT$169),"")</f>
        <v/>
      </c>
      <c r="AU169" t="str">
        <f ca="1">IFERROR(IF(0=LEN(ReferenceData!$AU$169),"",ReferenceData!$AU$169),"")</f>
        <v/>
      </c>
      <c r="AV169" t="str">
        <f ca="1">IFERROR(IF(0=LEN(ReferenceData!$AV$169),"",ReferenceData!$AV$169),"")</f>
        <v/>
      </c>
      <c r="AW169" t="str">
        <f ca="1">IFERROR(IF(0=LEN(ReferenceData!$AW$169),"",ReferenceData!$AW$169),"")</f>
        <v/>
      </c>
      <c r="AX169" t="str">
        <f ca="1">IFERROR(IF(0=LEN(ReferenceData!$AX$169),"",ReferenceData!$AX$169),"")</f>
        <v/>
      </c>
      <c r="AY169" t="str">
        <f ca="1">IFERROR(IF(0=LEN(ReferenceData!$AY$169),"",ReferenceData!$AY$169),"")</f>
        <v/>
      </c>
      <c r="AZ169" t="str">
        <f ca="1">IFERROR(IF(0=LEN(ReferenceData!$AZ$169),"",ReferenceData!$AZ$169),"")</f>
        <v/>
      </c>
      <c r="BA169" t="str">
        <f ca="1">IFERROR(IF(0=LEN(ReferenceData!$BA$169),"",ReferenceData!$BA$169),"")</f>
        <v/>
      </c>
      <c r="BB169" t="str">
        <f ca="1">IFERROR(IF(0=LEN(ReferenceData!$BB$169),"",ReferenceData!$BB$169),"")</f>
        <v/>
      </c>
      <c r="BC169" t="str">
        <f ca="1">IFERROR(IF(0=LEN(ReferenceData!$BC$169),"",ReferenceData!$BC$169),"")</f>
        <v/>
      </c>
      <c r="BD169" t="str">
        <f ca="1">IFERROR(IF(0=LEN(ReferenceData!$BD$169),"",ReferenceData!$BD$169),"")</f>
        <v/>
      </c>
      <c r="BE169" t="str">
        <f ca="1">IFERROR(IF(0=LEN(ReferenceData!$BE$169),"",ReferenceData!$BE$169),"")</f>
        <v/>
      </c>
      <c r="BF169" t="str">
        <f ca="1">IFERROR(IF(0=LEN(ReferenceData!$BF$169),"",ReferenceData!$BF$169),"")</f>
        <v/>
      </c>
      <c r="BG169" t="str">
        <f ca="1">IFERROR(IF(0=LEN(ReferenceData!$BG$169),"",ReferenceData!$BG$169),"")</f>
        <v/>
      </c>
      <c r="BH169" t="str">
        <f ca="1">IFERROR(IF(0=LEN(ReferenceData!$BH$169),"",ReferenceData!$BH$169),"")</f>
        <v/>
      </c>
      <c r="BI169" t="str">
        <f ca="1">IFERROR(IF(0=LEN(ReferenceData!$BI$169),"",ReferenceData!$BI$169),"")</f>
        <v/>
      </c>
      <c r="BJ169" t="str">
        <f ca="1">IFERROR(IF(0=LEN(ReferenceData!$BJ$169),"",ReferenceData!$BJ$169),"")</f>
        <v/>
      </c>
      <c r="BK169" t="str">
        <f ca="1">IFERROR(IF(0=LEN(ReferenceData!$BK$169),"",ReferenceData!$BK$169),"")</f>
        <v/>
      </c>
      <c r="BL169" t="str">
        <f ca="1">IFERROR(IF(0=LEN(ReferenceData!$BL$169),"",ReferenceData!$BL$169),"")</f>
        <v/>
      </c>
      <c r="BM169" t="str">
        <f ca="1">IFERROR(IF(0=LEN(ReferenceData!$BM$169),"",ReferenceData!$BM$169),"")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393"/>
  <sheetViews>
    <sheetView workbookViewId="0"/>
  </sheetViews>
  <sheetFormatPr defaultRowHeight="15"/>
  <cols>
    <col min="1" max="1" width="56.28515625" customWidth="1"/>
    <col min="2" max="2" width="15.85546875" customWidth="1"/>
    <col min="3" max="125" width="9.140625" bestFit="1" customWidth="1"/>
  </cols>
  <sheetData>
    <row r="1" spans="1:1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ReferenceData!$C$384</f>
        <v>2024 Q4</v>
      </c>
      <c r="G2" s="1" t="str">
        <f>ReferenceData!$D$384</f>
        <v>2024 Q3</v>
      </c>
      <c r="H2" s="1" t="str">
        <f>ReferenceData!$E$384</f>
        <v>2024 Q2</v>
      </c>
      <c r="I2" s="1" t="str">
        <f>ReferenceData!$F$384</f>
        <v>2024 Q1</v>
      </c>
      <c r="J2" s="1" t="str">
        <f>ReferenceData!$G$384</f>
        <v>2023 Q4</v>
      </c>
      <c r="K2" s="1" t="str">
        <f>ReferenceData!$H$384</f>
        <v>2023 Q3</v>
      </c>
      <c r="L2" s="1" t="str">
        <f>ReferenceData!$I$384</f>
        <v>2023 Q2</v>
      </c>
      <c r="M2" s="1" t="str">
        <f>ReferenceData!$J$384</f>
        <v>2023 Q1</v>
      </c>
      <c r="N2" s="1" t="str">
        <f>ReferenceData!$K$384</f>
        <v>2022 Q4</v>
      </c>
      <c r="O2" s="1" t="str">
        <f>ReferenceData!$L$384</f>
        <v>2022 Q3</v>
      </c>
      <c r="P2" s="1" t="str">
        <f>ReferenceData!$M$384</f>
        <v>2022 Q2</v>
      </c>
      <c r="Q2" s="1" t="str">
        <f>ReferenceData!$N$384</f>
        <v>2022 Q1</v>
      </c>
      <c r="R2" s="1" t="str">
        <f>ReferenceData!$O$384</f>
        <v>2021 Q4</v>
      </c>
      <c r="S2" s="1" t="str">
        <f>ReferenceData!$P$384</f>
        <v>2021 Q3</v>
      </c>
      <c r="T2" s="1" t="str">
        <f>ReferenceData!$Q$384</f>
        <v>2021 Q2</v>
      </c>
      <c r="U2" s="1" t="str">
        <f>ReferenceData!$R$384</f>
        <v>2021 Q1</v>
      </c>
      <c r="V2" s="1" t="str">
        <f>ReferenceData!$S$384</f>
        <v>2020 Q4</v>
      </c>
      <c r="W2" s="1" t="str">
        <f>ReferenceData!$T$384</f>
        <v>2020 Q3</v>
      </c>
      <c r="X2" s="1" t="str">
        <f>ReferenceData!$U$384</f>
        <v>2020 Q2</v>
      </c>
      <c r="Y2" s="1" t="str">
        <f>ReferenceData!$V$384</f>
        <v>2020 Q1</v>
      </c>
      <c r="Z2" s="1" t="str">
        <f>ReferenceData!$W$384</f>
        <v>2019 Q4</v>
      </c>
      <c r="AA2" s="1" t="str">
        <f>ReferenceData!$X$384</f>
        <v>2019 Q3</v>
      </c>
      <c r="AB2" s="1" t="str">
        <f>ReferenceData!$Y$384</f>
        <v>2019 Q2</v>
      </c>
      <c r="AC2" s="1" t="str">
        <f>ReferenceData!$Z$384</f>
        <v>2019 Q1</v>
      </c>
      <c r="AD2" s="1" t="str">
        <f>ReferenceData!$AA$384</f>
        <v>2018 Q4</v>
      </c>
      <c r="AE2" s="1" t="str">
        <f>ReferenceData!$AB$384</f>
        <v>2018 Q3</v>
      </c>
      <c r="AF2" s="1" t="str">
        <f>ReferenceData!$AC$384</f>
        <v>2018 Q2</v>
      </c>
      <c r="AG2" s="1" t="str">
        <f>ReferenceData!$AD$384</f>
        <v>2018 Q1</v>
      </c>
      <c r="AH2" s="1" t="str">
        <f>ReferenceData!$AE$384</f>
        <v>2017 Q4</v>
      </c>
      <c r="AI2" s="1" t="str">
        <f>ReferenceData!$AF$384</f>
        <v>2017 Q3</v>
      </c>
      <c r="AJ2" s="1" t="str">
        <f>ReferenceData!$AG$384</f>
        <v>2017 Q2</v>
      </c>
      <c r="AK2" s="1" t="str">
        <f>ReferenceData!$AH$384</f>
        <v>2017 Q1</v>
      </c>
      <c r="AL2" s="1" t="str">
        <f>ReferenceData!$AI$384</f>
        <v>2016 Q4</v>
      </c>
      <c r="AM2" s="1" t="str">
        <f>ReferenceData!$AJ$384</f>
        <v>2016 Q3</v>
      </c>
      <c r="AN2" s="1" t="str">
        <f>ReferenceData!$AK$384</f>
        <v>2016 Q2</v>
      </c>
      <c r="AO2" s="1" t="str">
        <f>ReferenceData!$AL$384</f>
        <v>2016 Q1</v>
      </c>
      <c r="AP2" s="1" t="str">
        <f>ReferenceData!$AM$384</f>
        <v>2015 Q4</v>
      </c>
      <c r="AQ2" s="1" t="str">
        <f>ReferenceData!$AN$384</f>
        <v>2015 Q3</v>
      </c>
      <c r="AR2" s="1" t="str">
        <f>ReferenceData!$AO$384</f>
        <v>2015 Q2</v>
      </c>
      <c r="AS2" s="1" t="str">
        <f>ReferenceData!$AP$384</f>
        <v>2015 Q1</v>
      </c>
      <c r="AT2" s="1" t="str">
        <f>ReferenceData!$AQ$384</f>
        <v>2014 Q4</v>
      </c>
      <c r="AU2" s="1" t="str">
        <f>ReferenceData!$AR$384</f>
        <v>2014 Q3</v>
      </c>
      <c r="AV2" s="1" t="str">
        <f>ReferenceData!$AS$384</f>
        <v>2014 Q2</v>
      </c>
      <c r="AW2" s="1" t="str">
        <f>ReferenceData!$AT$384</f>
        <v>2014 Q1</v>
      </c>
      <c r="AX2" s="1" t="str">
        <f>ReferenceData!$AU$384</f>
        <v>2013 Q4</v>
      </c>
      <c r="AY2" s="1" t="str">
        <f>ReferenceData!$AV$384</f>
        <v>2013 Q3</v>
      </c>
      <c r="AZ2" s="1" t="str">
        <f>ReferenceData!$AW$384</f>
        <v>2013 Q2</v>
      </c>
      <c r="BA2" s="1" t="str">
        <f>ReferenceData!$AX$384</f>
        <v>2013 Q1</v>
      </c>
      <c r="BB2" s="1" t="str">
        <f>ReferenceData!$AY$384</f>
        <v>2012 Q4</v>
      </c>
      <c r="BC2" s="1" t="str">
        <f>ReferenceData!$AZ$384</f>
        <v>2012 Q3</v>
      </c>
      <c r="BD2" s="1" t="str">
        <f>ReferenceData!$BA$384</f>
        <v>2012 Q2</v>
      </c>
      <c r="BE2" s="1" t="str">
        <f>ReferenceData!$BB$384</f>
        <v>2012 Q1</v>
      </c>
      <c r="BF2" s="1" t="str">
        <f>ReferenceData!$BC$384</f>
        <v>2011 Q4</v>
      </c>
      <c r="BG2" s="1" t="str">
        <f>ReferenceData!$BD$384</f>
        <v>2011 Q3</v>
      </c>
      <c r="BH2" s="1" t="str">
        <f>ReferenceData!$BE$384</f>
        <v>2011 Q2</v>
      </c>
      <c r="BI2" s="1" t="str">
        <f>ReferenceData!$BF$384</f>
        <v>2011 Q1</v>
      </c>
      <c r="BJ2" s="1" t="str">
        <f>ReferenceData!$BG$384</f>
        <v>2010 Q4</v>
      </c>
      <c r="BK2" s="1" t="str">
        <f>ReferenceData!$BH$384</f>
        <v>2010 Q3</v>
      </c>
      <c r="BL2" s="1" t="str">
        <f>ReferenceData!$BI$384</f>
        <v>2010 Q2</v>
      </c>
      <c r="BM2" s="1" t="str">
        <f>ReferenceData!$BJ$384</f>
        <v>2010 Q1</v>
      </c>
      <c r="BN2" t="str">
        <f>$C$384</f>
        <v>2024 Q4</v>
      </c>
      <c r="BO2" t="str">
        <f>$D$384</f>
        <v>2024 Q3</v>
      </c>
      <c r="BP2" t="str">
        <f>$E$384</f>
        <v>2024 Q2</v>
      </c>
      <c r="BQ2" t="str">
        <f>$F$384</f>
        <v>2024 Q1</v>
      </c>
      <c r="BR2" t="str">
        <f>$G$384</f>
        <v>2023 Q4</v>
      </c>
      <c r="BS2" t="str">
        <f>$H$384</f>
        <v>2023 Q3</v>
      </c>
      <c r="BT2" t="str">
        <f>$I$384</f>
        <v>2023 Q2</v>
      </c>
      <c r="BU2" t="str">
        <f>$J$384</f>
        <v>2023 Q1</v>
      </c>
      <c r="BV2" t="str">
        <f>$K$384</f>
        <v>2022 Q4</v>
      </c>
      <c r="BW2" t="str">
        <f>$L$384</f>
        <v>2022 Q3</v>
      </c>
      <c r="BX2" t="str">
        <f>$M$384</f>
        <v>2022 Q2</v>
      </c>
      <c r="BY2" t="str">
        <f>$N$384</f>
        <v>2022 Q1</v>
      </c>
      <c r="BZ2" t="str">
        <f>$O$384</f>
        <v>2021 Q4</v>
      </c>
      <c r="CA2" t="str">
        <f>$P$384</f>
        <v>2021 Q3</v>
      </c>
      <c r="CB2" t="str">
        <f>$Q$384</f>
        <v>2021 Q2</v>
      </c>
      <c r="CC2" t="str">
        <f>$R$384</f>
        <v>2021 Q1</v>
      </c>
      <c r="CD2" t="str">
        <f>$S$384</f>
        <v>2020 Q4</v>
      </c>
      <c r="CE2" t="str">
        <f>$T$384</f>
        <v>2020 Q3</v>
      </c>
      <c r="CF2" t="str">
        <f>$U$384</f>
        <v>2020 Q2</v>
      </c>
      <c r="CG2" t="str">
        <f>$V$384</f>
        <v>2020 Q1</v>
      </c>
      <c r="CH2" t="str">
        <f>$W$384</f>
        <v>2019 Q4</v>
      </c>
      <c r="CI2" t="str">
        <f>$X$384</f>
        <v>2019 Q3</v>
      </c>
      <c r="CJ2" t="str">
        <f>$Y$384</f>
        <v>2019 Q2</v>
      </c>
      <c r="CK2" t="str">
        <f>$Z$384</f>
        <v>2019 Q1</v>
      </c>
      <c r="CL2" t="str">
        <f>$AA$384</f>
        <v>2018 Q4</v>
      </c>
      <c r="CM2" t="str">
        <f>$AB$384</f>
        <v>2018 Q3</v>
      </c>
      <c r="CN2" t="str">
        <f>$AC$384</f>
        <v>2018 Q2</v>
      </c>
      <c r="CO2" t="str">
        <f>$AD$384</f>
        <v>2018 Q1</v>
      </c>
      <c r="CP2" t="str">
        <f>$AE$384</f>
        <v>2017 Q4</v>
      </c>
      <c r="CQ2" t="str">
        <f>$AF$384</f>
        <v>2017 Q3</v>
      </c>
      <c r="CR2" t="str">
        <f>$AG$384</f>
        <v>2017 Q2</v>
      </c>
      <c r="CS2" t="str">
        <f>$AH$384</f>
        <v>2017 Q1</v>
      </c>
      <c r="CT2" t="str">
        <f>$AI$384</f>
        <v>2016 Q4</v>
      </c>
      <c r="CU2" t="str">
        <f>$AJ$384</f>
        <v>2016 Q3</v>
      </c>
      <c r="CV2" t="str">
        <f>$AK$384</f>
        <v>2016 Q2</v>
      </c>
      <c r="CW2" t="str">
        <f>$AL$384</f>
        <v>2016 Q1</v>
      </c>
      <c r="CX2" t="str">
        <f>$AM$384</f>
        <v>2015 Q4</v>
      </c>
      <c r="CY2" t="str">
        <f>$AN$384</f>
        <v>2015 Q3</v>
      </c>
      <c r="CZ2" t="str">
        <f>$AO$384</f>
        <v>2015 Q2</v>
      </c>
      <c r="DA2" t="str">
        <f>$AP$384</f>
        <v>2015 Q1</v>
      </c>
      <c r="DB2" t="str">
        <f>$AQ$384</f>
        <v>2014 Q4</v>
      </c>
      <c r="DC2" t="str">
        <f>$AR$384</f>
        <v>2014 Q3</v>
      </c>
      <c r="DD2" t="str">
        <f>$AS$384</f>
        <v>2014 Q2</v>
      </c>
      <c r="DE2" t="str">
        <f>$AT$384</f>
        <v>2014 Q1</v>
      </c>
      <c r="DF2" t="str">
        <f>$AU$384</f>
        <v>2013 Q4</v>
      </c>
      <c r="DG2" t="str">
        <f>$AV$384</f>
        <v>2013 Q3</v>
      </c>
      <c r="DH2" t="str">
        <f>$AW$384</f>
        <v>2013 Q2</v>
      </c>
      <c r="DI2" t="str">
        <f>$AX$384</f>
        <v>2013 Q1</v>
      </c>
      <c r="DJ2" t="str">
        <f>$AY$384</f>
        <v>2012 Q4</v>
      </c>
      <c r="DK2" t="str">
        <f>$AZ$384</f>
        <v>2012 Q3</v>
      </c>
      <c r="DL2" t="str">
        <f>$BA$384</f>
        <v>2012 Q2</v>
      </c>
      <c r="DM2" t="str">
        <f>$BB$384</f>
        <v>2012 Q1</v>
      </c>
      <c r="DN2" t="str">
        <f>$BC$384</f>
        <v>2011 Q4</v>
      </c>
      <c r="DO2" t="str">
        <f>$BD$384</f>
        <v>2011 Q3</v>
      </c>
      <c r="DP2" t="str">
        <f>$BE$384</f>
        <v>2011 Q2</v>
      </c>
      <c r="DQ2" t="str">
        <f>$BF$384</f>
        <v>2011 Q1</v>
      </c>
      <c r="DR2" t="str">
        <f>$BG$384</f>
        <v>2010 Q4</v>
      </c>
      <c r="DS2" t="str">
        <f>$BH$384</f>
        <v>2010 Q3</v>
      </c>
      <c r="DT2" t="str">
        <f>$BI$384</f>
        <v>2010 Q2</v>
      </c>
      <c r="DU2" t="str">
        <f>$BJ$384</f>
        <v>2010 Q1</v>
      </c>
    </row>
    <row r="3" spans="1:125">
      <c r="A3" t="str">
        <f>"Mortgage Banking Revenue % Total Revenue"</f>
        <v>Mortgage Banking Revenue % Total Revenue</v>
      </c>
      <c r="B3" t="str">
        <f>""</f>
        <v/>
      </c>
      <c r="E3" t="str">
        <f>"Median"</f>
        <v>Median</v>
      </c>
      <c r="F3" t="str">
        <f ca="1">IF(ISERROR(IF(MEDIAN($F$4:$F$23) = 0, "", MEDIAN($F$4:$F$23))), "", (IF(MEDIAN($F$4:$F$23) = 0, "", MEDIAN($F$4:$F$23))))</f>
        <v/>
      </c>
      <c r="G3">
        <f ca="1">IF(ISERROR(IF(MEDIAN($G$4:$G$23) = 0, "", MEDIAN($G$4:$G$23))), "", (IF(MEDIAN($G$4:$G$23) = 0, "", MEDIAN($G$4:$G$23))))</f>
        <v>2.1764828879999998</v>
      </c>
      <c r="H3">
        <f ca="1">IF(ISERROR(IF(MEDIAN($H$4:$H$23) = 0, "", MEDIAN($H$4:$H$23))), "", (IF(MEDIAN($H$4:$H$23) = 0, "", MEDIAN($H$4:$H$23))))</f>
        <v>2.1828597685000002</v>
      </c>
      <c r="I3">
        <f ca="1">IF(ISERROR(IF(MEDIAN($I$4:$I$23) = 0, "", MEDIAN($I$4:$I$23))), "", (IF(MEDIAN($I$4:$I$23) = 0, "", MEDIAN($I$4:$I$23))))</f>
        <v>2.4150258225000001</v>
      </c>
      <c r="J3">
        <f ca="1">IF(ISERROR(IF(MEDIAN($J$4:$J$23) = 0, "", MEDIAN($J$4:$J$23))), "", (IF(MEDIAN($J$4:$J$23) = 0, "", MEDIAN($J$4:$J$23))))</f>
        <v>1.9254403929999999</v>
      </c>
      <c r="K3">
        <f ca="1">IF(ISERROR(IF(MEDIAN($K$4:$K$23) = 0, "", MEDIAN($K$4:$K$23))), "", (IF(MEDIAN($K$4:$K$23) = 0, "", MEDIAN($K$4:$K$23))))</f>
        <v>1.9277251660000001</v>
      </c>
      <c r="L3">
        <f ca="1">IF(ISERROR(IF(MEDIAN($L$4:$L$23) = 0, "", MEDIAN($L$4:$L$23))), "", (IF(MEDIAN($L$4:$L$23) = 0, "", MEDIAN($L$4:$L$23))))</f>
        <v>1.8429894739999999</v>
      </c>
      <c r="M3">
        <f ca="1">IF(ISERROR(IF(MEDIAN($M$4:$M$23) = 0, "", MEDIAN($M$4:$M$23))), "", (IF(MEDIAN($M$4:$M$23) = 0, "", MEDIAN($M$4:$M$23))))</f>
        <v>1.57296389</v>
      </c>
      <c r="N3">
        <f ca="1">IF(ISERROR(IF(MEDIAN($N$4:$N$23) = 0, "", MEDIAN($N$4:$N$23))), "", (IF(MEDIAN($N$4:$N$23) = 0, "", MEDIAN($N$4:$N$23))))</f>
        <v>1.4581369529999999</v>
      </c>
      <c r="O3">
        <f ca="1">IF(ISERROR(IF(MEDIAN($O$4:$O$23) = 0, "", MEDIAN($O$4:$O$23))), "", (IF(MEDIAN($O$4:$O$23) = 0, "", MEDIAN($O$4:$O$23))))</f>
        <v>1.705069124</v>
      </c>
      <c r="P3">
        <f ca="1">IF(ISERROR(IF(MEDIAN($P$4:$P$23) = 0, "", MEDIAN($P$4:$P$23))), "", (IF(MEDIAN($P$4:$P$23) = 0, "", MEDIAN($P$4:$P$23))))</f>
        <v>2.3733912749999999</v>
      </c>
      <c r="Q3">
        <f ca="1">IF(ISERROR(IF(MEDIAN($Q$4:$Q$23) = 0, "", MEDIAN($Q$4:$Q$23))), "", (IF(MEDIAN($Q$4:$Q$23) = 0, "", MEDIAN($Q$4:$Q$23))))</f>
        <v>3.0018761729999999</v>
      </c>
      <c r="R3">
        <f ca="1">IF(ISERROR(IF(MEDIAN($R$4:$R$23) = 0, "", MEDIAN($R$4:$R$23))), "", (IF(MEDIAN($R$4:$R$23) = 0, "", MEDIAN($R$4:$R$23))))</f>
        <v>3.703703704</v>
      </c>
      <c r="S3">
        <f ca="1">IF(ISERROR(IF(MEDIAN($S$4:$S$23) = 0, "", MEDIAN($S$4:$S$23))), "", (IF(MEDIAN($S$4:$S$23) = 0, "", MEDIAN($S$4:$S$23))))</f>
        <v>4.7719838369999996</v>
      </c>
      <c r="T3">
        <f ca="1">IF(ISERROR(IF(MEDIAN($T$4:$T$23) = 0, "", MEDIAN($T$4:$T$23))), "", (IF(MEDIAN($T$4:$T$23) = 0, "", MEDIAN($T$4:$T$23))))</f>
        <v>4.4139704310000001</v>
      </c>
      <c r="U3">
        <f ca="1">IF(ISERROR(IF(MEDIAN($U$4:$U$23) = 0, "", MEDIAN($U$4:$U$23))), "", (IF(MEDIAN($U$4:$U$23) = 0, "", MEDIAN($U$4:$U$23))))</f>
        <v>5.4922850839999997</v>
      </c>
      <c r="V3">
        <f ca="1">IF(ISERROR(IF(MEDIAN($V$4:$V$23) = 0, "", MEDIAN($V$4:$V$23))), "", (IF(MEDIAN($V$4:$V$23) = 0, "", MEDIAN($V$4:$V$23))))</f>
        <v>3.0502392340000002</v>
      </c>
      <c r="W3">
        <f ca="1">IF(ISERROR(IF(MEDIAN($W$4:$W$23) = 0, "", MEDIAN($W$4:$W$23))), "", (IF(MEDIAN($W$4:$W$23) = 0, "", MEDIAN($W$4:$W$23))))</f>
        <v>6.5733414489999999</v>
      </c>
      <c r="X3">
        <f ca="1">IF(ISERROR(IF(MEDIAN($X$4:$X$23) = 0, "", MEDIAN($X$4:$X$23))), "", (IF(MEDIAN($X$4:$X$23) = 0, "", MEDIAN($X$4:$X$23))))</f>
        <v>5.3513513509999999</v>
      </c>
      <c r="Y3">
        <f ca="1">IF(ISERROR(IF(MEDIAN($Y$4:$Y$23) = 0, "", MEDIAN($Y$4:$Y$23))), "", (IF(MEDIAN($Y$4:$Y$23) = 0, "", MEDIAN($Y$4:$Y$23))))</f>
        <v>4.8431734320000004</v>
      </c>
      <c r="Z3">
        <f ca="1">IF(ISERROR(IF(MEDIAN($Z$4:$Z$23) = 0, "", MEDIAN($Z$4:$Z$23))), "", (IF(MEDIAN($Z$4:$Z$23) = 0, "", MEDIAN($Z$4:$Z$23))))</f>
        <v>3.3401499659999998</v>
      </c>
      <c r="AA3">
        <f ca="1">IF(ISERROR(IF(MEDIAN($AA$4:$AA$23) = 0, "", MEDIAN($AA$4:$AA$23))), "", (IF(MEDIAN($AA$4:$AA$23) = 0, "", MEDIAN($AA$4:$AA$23))))</f>
        <v>3.7458193980000001</v>
      </c>
      <c r="AB3">
        <f ca="1">IF(ISERROR(IF(MEDIAN($AB$4:$AB$23) = 0, "", MEDIAN($AB$4:$AB$23))), "", (IF(MEDIAN($AB$4:$AB$23) = 0, "", MEDIAN($AB$4:$AB$23))))</f>
        <v>2.9291160400000003</v>
      </c>
      <c r="AC3">
        <f ca="1">IF(ISERROR(IF(MEDIAN($AC$4:$AC$23) = 0, "", MEDIAN($AC$4:$AC$23))), "", (IF(MEDIAN($AC$4:$AC$23) = 0, "", MEDIAN($AC$4:$AC$23))))</f>
        <v>1.850582591</v>
      </c>
      <c r="AD3">
        <f ca="1">IF(ISERROR(IF(MEDIAN($AD$4:$AD$23) = 0, "", MEDIAN($AD$4:$AD$23))), "", (IF(MEDIAN($AD$4:$AD$23) = 0, "", MEDIAN($AD$4:$AD$23))))</f>
        <v>2.08913649</v>
      </c>
      <c r="AE3">
        <f ca="1">IF(ISERROR(IF(MEDIAN($AE$4:$AE$23) = 0, "", MEDIAN($AE$4:$AE$23))), "", (IF(MEDIAN($AE$4:$AE$23) = 0, "", MEDIAN($AE$4:$AE$23))))</f>
        <v>2.7048609285</v>
      </c>
      <c r="AF3">
        <f ca="1">IF(ISERROR(IF(MEDIAN($AF$4:$AF$23) = 0, "", MEDIAN($AF$4:$AF$23))), "", (IF(MEDIAN($AF$4:$AF$23) = 0, "", MEDIAN($AF$4:$AF$23))))</f>
        <v>2.5365090404999999</v>
      </c>
      <c r="AG3">
        <f ca="1">IF(ISERROR(IF(MEDIAN($AG$4:$AG$23) = 0, "", MEDIAN($AG$4:$AG$23))), "", (IF(MEDIAN($AG$4:$AG$23) = 0, "", MEDIAN($AG$4:$AG$23))))</f>
        <v>2.5372901615000001</v>
      </c>
      <c r="AH3">
        <f ca="1">IF(ISERROR(IF(MEDIAN($AH$4:$AH$23) = 0, "", MEDIAN($AH$4:$AH$23))), "", (IF(MEDIAN($AH$4:$AH$23) = 0, "", MEDIAN($AH$4:$AH$23))))</f>
        <v>2.9729729730000001</v>
      </c>
      <c r="AI3">
        <f ca="1">IF(ISERROR(IF(MEDIAN($AI$4:$AI$23) = 0, "", MEDIAN($AI$4:$AI$23))), "", (IF(MEDIAN($AI$4:$AI$23) = 0, "", MEDIAN($AI$4:$AI$23))))</f>
        <v>2.5051734249999997</v>
      </c>
      <c r="AJ3">
        <f ca="1">IF(ISERROR(IF(MEDIAN($AJ$4:$AJ$23) = 0, "", MEDIAN($AJ$4:$AJ$23))), "", (IF(MEDIAN($AJ$4:$AJ$23) = 0, "", MEDIAN($AJ$4:$AJ$23))))</f>
        <v>2.9530530504999999</v>
      </c>
      <c r="AK3">
        <f ca="1">IF(ISERROR(IF(MEDIAN($AK$4:$AK$23) = 0, "", MEDIAN($AK$4:$AK$23))), "", (IF(MEDIAN($AK$4:$AK$23) = 0, "", MEDIAN($AK$4:$AK$23))))</f>
        <v>3.0688622749999999</v>
      </c>
      <c r="AL3">
        <f ca="1">IF(ISERROR(IF(MEDIAN($AL$4:$AL$23) = 0, "", MEDIAN($AL$4:$AL$23))), "", (IF(MEDIAN($AL$4:$AL$23) = 0, "", MEDIAN($AL$4:$AL$23))))</f>
        <v>3.4981037634999996</v>
      </c>
      <c r="AM3">
        <f ca="1">IF(ISERROR(IF(MEDIAN($AM$4:$AM$23) = 0, "", MEDIAN($AM$4:$AM$23))), "", (IF(MEDIAN($AM$4:$AM$23) = 0, "", MEDIAN($AM$4:$AM$23))))</f>
        <v>3.7779049800000002</v>
      </c>
      <c r="AN3">
        <f ca="1">IF(ISERROR(IF(MEDIAN($AN$4:$AN$23) = 0, "", MEDIAN($AN$4:$AN$23))), "", (IF(MEDIAN($AN$4:$AN$23) = 0, "", MEDIAN($AN$4:$AN$23))))</f>
        <v>4.0407717510000003</v>
      </c>
      <c r="AO3">
        <f ca="1">IF(ISERROR(IF(MEDIAN($AO$4:$AO$23) = 0, "", MEDIAN($AO$4:$AO$23))), "", (IF(MEDIAN($AO$4:$AO$23) = 0, "", MEDIAN($AO$4:$AO$23))))</f>
        <v>2.7777777779999999</v>
      </c>
      <c r="AP3">
        <f ca="1">IF(ISERROR(IF(MEDIAN($AP$4:$AP$23) = 0, "", MEDIAN($AP$4:$AP$23))), "", (IF(MEDIAN($AP$4:$AP$23) = 0, "", MEDIAN($AP$4:$AP$23))))</f>
        <v>2.9327796519999998</v>
      </c>
      <c r="AQ3">
        <f ca="1">IF(ISERROR(IF(MEDIAN($AQ$4:$AQ$23) = 0, "", MEDIAN($AQ$4:$AQ$23))), "", (IF(MEDIAN($AQ$4:$AQ$23) = 0, "", MEDIAN($AQ$4:$AQ$23))))</f>
        <v>2.9257314330000002</v>
      </c>
      <c r="AR3">
        <f ca="1">IF(ISERROR(IF(MEDIAN($AR$4:$AR$23) = 0, "", MEDIAN($AR$4:$AR$23))), "", (IF(MEDIAN($AR$4:$AR$23) = 0, "", MEDIAN($AR$4:$AR$23))))</f>
        <v>4.6017556300000004</v>
      </c>
      <c r="AS3">
        <f ca="1">IF(ISERROR(IF(MEDIAN($AS$4:$AS$23) = 0, "", MEDIAN($AS$4:$AS$23))), "", (IF(MEDIAN($AS$4:$AS$23) = 0, "", MEDIAN($AS$4:$AS$23))))</f>
        <v>4.3956043960000004</v>
      </c>
      <c r="AT3">
        <f ca="1">IF(ISERROR(IF(MEDIAN($AT$4:$AT$23) = 0, "", MEDIAN($AT$4:$AT$23))), "", (IF(MEDIAN($AT$4:$AT$23) = 0, "", MEDIAN($AT$4:$AT$23))))</f>
        <v>3.758241758</v>
      </c>
      <c r="AU3">
        <f ca="1">IF(ISERROR(IF(MEDIAN($AU$4:$AU$23) = 0, "", MEDIAN($AU$4:$AU$23))), "", (IF(MEDIAN($AU$4:$AU$23) = 0, "", MEDIAN($AU$4:$AU$23))))</f>
        <v>3.6903837510000002</v>
      </c>
      <c r="AV3">
        <f ca="1">IF(ISERROR(IF(MEDIAN($AV$4:$AV$23) = 0, "", MEDIAN($AV$4:$AV$23))), "", (IF(MEDIAN($AV$4:$AV$23) = 0, "", MEDIAN($AV$4:$AV$23))))</f>
        <v>4.5497418810000001</v>
      </c>
      <c r="AW3">
        <f ca="1">IF(ISERROR(IF(MEDIAN($AW$4:$AW$23) = 0, "", MEDIAN($AW$4:$AW$23))), "", (IF(MEDIAN($AW$4:$AW$23) = 0, "", MEDIAN($AW$4:$AW$23))))</f>
        <v>3.3657875979999998</v>
      </c>
      <c r="AX3">
        <f ca="1">IF(ISERROR(IF(MEDIAN($AX$4:$AX$23) = 0, "", MEDIAN($AX$4:$AX$23))), "", (IF(MEDIAN($AX$4:$AX$23) = 0, "", MEDIAN($AX$4:$AX$23))))</f>
        <v>4.2607584149999997</v>
      </c>
      <c r="AY3">
        <f ca="1">IF(ISERROR(IF(MEDIAN($AY$4:$AY$23) = 0, "", MEDIAN($AY$4:$AY$23))), "", (IF(MEDIAN($AY$4:$AY$23) = 0, "", MEDIAN($AY$4:$AY$23))))</f>
        <v>4.6977141949999996</v>
      </c>
      <c r="AZ3">
        <f ca="1">IF(ISERROR(IF(MEDIAN($AZ$4:$AZ$23) = 0, "", MEDIAN($AZ$4:$AZ$23))), "", (IF(MEDIAN($AZ$4:$AZ$23) = 0, "", MEDIAN($AZ$4:$AZ$23))))</f>
        <v>6.695782865</v>
      </c>
      <c r="BA3">
        <f ca="1">IF(ISERROR(IF(MEDIAN($BA$4:$BA$23) = 0, "", MEDIAN($BA$4:$BA$23))), "", (IF(MEDIAN($BA$4:$BA$23) = 0, "", MEDIAN($BA$4:$BA$23))))</f>
        <v>6.6464156240000003</v>
      </c>
      <c r="BB3">
        <f ca="1">IF(ISERROR(IF(MEDIAN($BB$4:$BB$23) = 0, "", MEDIAN($BB$4:$BB$23))), "", (IF(MEDIAN($BB$4:$BB$23) = 0, "", MEDIAN($BB$4:$BB$23))))</f>
        <v>8.9291837469999997</v>
      </c>
      <c r="BC3">
        <f ca="1">IF(ISERROR(IF(MEDIAN($BC$4:$BC$23) = 0, "", MEDIAN($BC$4:$BC$23))), "", (IF(MEDIAN($BC$4:$BC$23) = 0, "", MEDIAN($BC$4:$BC$23))))</f>
        <v>9.5444554030000006</v>
      </c>
      <c r="BD3">
        <f ca="1">IF(ISERROR(IF(MEDIAN($BD$4:$BD$23) = 0, "", MEDIAN($BD$4:$BD$23))), "", (IF(MEDIAN($BD$4:$BD$23) = 0, "", MEDIAN($BD$4:$BD$23))))</f>
        <v>7.5238875239999992</v>
      </c>
      <c r="BE3">
        <f ca="1">IF(ISERROR(IF(MEDIAN($BE$4:$BE$23) = 0, "", MEDIAN($BE$4:$BE$23))), "", (IF(MEDIAN($BE$4:$BE$23) = 0, "", MEDIAN($BE$4:$BE$23))))</f>
        <v>7.4755883005000001</v>
      </c>
      <c r="BF3">
        <f ca="1">IF(ISERROR(IF(MEDIAN($BF$4:$BF$23) = 0, "", MEDIAN($BF$4:$BF$23))), "", (IF(MEDIAN($BF$4:$BF$23) = 0, "", MEDIAN($BF$4:$BF$23))))</f>
        <v>5.6866048859999996</v>
      </c>
      <c r="BG3">
        <f ca="1">IF(ISERROR(IF(MEDIAN($BG$4:$BG$23) = 0, "", MEDIAN($BG$4:$BG$23))), "", (IF(MEDIAN($BG$4:$BG$23) = 0, "", MEDIAN($BG$4:$BG$23))))</f>
        <v>5.6830562679999996</v>
      </c>
      <c r="BH3">
        <f ca="1">IF(ISERROR(IF(MEDIAN($BH$4:$BH$23) = 0, "", MEDIAN($BH$4:$BH$23))), "", (IF(MEDIAN($BH$4:$BH$23) = 0, "", MEDIAN($BH$4:$BH$23))))</f>
        <v>3.8766931339999999</v>
      </c>
      <c r="BI3">
        <f ca="1">IF(ISERROR(IF(MEDIAN($BI$4:$BI$23) = 0, "", MEDIAN($BI$4:$BI$23))), "", (IF(MEDIAN($BI$4:$BI$23) = 0, "", MEDIAN($BI$4:$BI$23))))</f>
        <v>4.7523761880000004</v>
      </c>
      <c r="BJ3">
        <f ca="1">IF(ISERROR(IF(MEDIAN($BJ$4:$BJ$23) = 0, "", MEDIAN($BJ$4:$BJ$23))), "", (IF(MEDIAN($BJ$4:$BJ$23) = 0, "", MEDIAN($BJ$4:$BJ$23))))</f>
        <v>6.0104529619999996</v>
      </c>
      <c r="BK3">
        <f ca="1">IF(ISERROR(IF(MEDIAN($BK$4:$BK$23) = 0, "", MEDIAN($BK$4:$BK$23))), "", (IF(MEDIAN($BK$4:$BK$23) = 0, "", MEDIAN($BK$4:$BK$23))))</f>
        <v>7.1009936409999996</v>
      </c>
      <c r="BL3">
        <f ca="1">IF(ISERROR(IF(MEDIAN($BL$4:$BL$23) = 0, "", MEDIAN($BL$4:$BL$23))), "", (IF(MEDIAN($BL$4:$BL$23) = 0, "", MEDIAN($BL$4:$BL$23))))</f>
        <v>5.4398925450000002</v>
      </c>
      <c r="BM3">
        <f ca="1">IF(ISERROR(IF(MEDIAN($BM$4:$BM$23) = 0, "", MEDIAN($BM$4:$BM$23))), "", (IF(MEDIAN($BM$4:$BM$23) = 0, "", MEDIAN($BM$4:$BM$23))))</f>
        <v>3.1421992090000002</v>
      </c>
      <c r="BN3">
        <f>1.928374656</f>
        <v>1.9283746559999999</v>
      </c>
      <c r="BO3">
        <f>2.176482888</f>
        <v>2.1764828879999998</v>
      </c>
      <c r="BP3">
        <f>2.182859769</f>
        <v>2.1828597689999998</v>
      </c>
      <c r="BQ3">
        <f>2.415025823</f>
        <v>2.4150258230000001</v>
      </c>
      <c r="BR3">
        <f>1.925440393</f>
        <v>1.9254403929999999</v>
      </c>
      <c r="BS3">
        <f>1.927725166</f>
        <v>1.9277251660000001</v>
      </c>
      <c r="BT3">
        <f>1.842989474</f>
        <v>1.8429894739999999</v>
      </c>
      <c r="BU3">
        <f>1.57296389</f>
        <v>1.57296389</v>
      </c>
      <c r="BV3">
        <f>1.458136953</f>
        <v>1.4581369529999999</v>
      </c>
      <c r="BW3">
        <f>1.705069124</f>
        <v>1.705069124</v>
      </c>
      <c r="BX3">
        <f>2.373391275</f>
        <v>2.3733912749999999</v>
      </c>
      <c r="BY3">
        <f>3.001876173</f>
        <v>3.0018761729999999</v>
      </c>
      <c r="BZ3">
        <f>3.703703704</f>
        <v>3.703703704</v>
      </c>
      <c r="CA3">
        <f>4.771983837</f>
        <v>4.7719838369999996</v>
      </c>
      <c r="CB3">
        <f>4.413970431</f>
        <v>4.4139704310000001</v>
      </c>
      <c r="CC3">
        <f>5.492285084</f>
        <v>5.4922850839999997</v>
      </c>
      <c r="CD3">
        <f>3.050239234</f>
        <v>3.0502392340000002</v>
      </c>
      <c r="CE3">
        <f>6.573341449</f>
        <v>6.5733414489999999</v>
      </c>
      <c r="CF3">
        <f>5.351351351</f>
        <v>5.3513513509999999</v>
      </c>
      <c r="CG3">
        <f>4.843173432</f>
        <v>4.8431734320000004</v>
      </c>
      <c r="CH3">
        <f>3.340149966</f>
        <v>3.3401499659999998</v>
      </c>
      <c r="CI3">
        <f>3.745819398</f>
        <v>3.7458193980000001</v>
      </c>
      <c r="CJ3">
        <f>2.92911604</f>
        <v>2.9291160399999998</v>
      </c>
      <c r="CK3">
        <f>1.850582591</f>
        <v>1.850582591</v>
      </c>
      <c r="CL3">
        <f>2.08913649</f>
        <v>2.08913649</v>
      </c>
      <c r="CM3">
        <f>2.704860929</f>
        <v>2.7048609290000001</v>
      </c>
      <c r="CN3">
        <f>2.53650904</f>
        <v>2.5365090399999999</v>
      </c>
      <c r="CO3">
        <f>2.537290162</f>
        <v>2.5372901620000001</v>
      </c>
      <c r="CP3">
        <f>2.972972973</f>
        <v>2.9729729730000001</v>
      </c>
      <c r="CQ3">
        <f>2.505173425</f>
        <v>2.5051734250000002</v>
      </c>
      <c r="CR3">
        <f>2.95305305</f>
        <v>2.9530530499999998</v>
      </c>
      <c r="CS3">
        <f>3.068862275</f>
        <v>3.0688622749999999</v>
      </c>
      <c r="CT3">
        <f>3.498103764</f>
        <v>3.4981037640000001</v>
      </c>
      <c r="CU3">
        <f>3.77790498</f>
        <v>3.7779049800000002</v>
      </c>
      <c r="CV3">
        <f>4.040771751</f>
        <v>4.0407717510000003</v>
      </c>
      <c r="CW3">
        <f>2.777777778</f>
        <v>2.7777777779999999</v>
      </c>
      <c r="CX3">
        <f>2.932779652</f>
        <v>2.9327796519999998</v>
      </c>
      <c r="CY3">
        <f>2.925731433</f>
        <v>2.9257314330000002</v>
      </c>
      <c r="CZ3">
        <f>4.60175563</f>
        <v>4.6017556300000004</v>
      </c>
      <c r="DA3">
        <f>4.395604396</f>
        <v>4.3956043960000004</v>
      </c>
      <c r="DB3">
        <f>3.758241758</f>
        <v>3.758241758</v>
      </c>
      <c r="DC3">
        <f>3.690383751</f>
        <v>3.6903837510000002</v>
      </c>
      <c r="DD3">
        <f>4.549741881</f>
        <v>4.5497418810000001</v>
      </c>
      <c r="DE3">
        <f>3.365787598</f>
        <v>3.3657875979999998</v>
      </c>
      <c r="DF3">
        <f>4.260758415</f>
        <v>4.2607584149999997</v>
      </c>
      <c r="DG3">
        <f>4.697714195</f>
        <v>4.6977141949999996</v>
      </c>
      <c r="DH3">
        <f>6.695782865</f>
        <v>6.695782865</v>
      </c>
      <c r="DI3">
        <f>6.646415624</f>
        <v>6.6464156240000003</v>
      </c>
      <c r="DJ3">
        <f>8.929183747</f>
        <v>8.9291837469999997</v>
      </c>
      <c r="DK3">
        <f>9.544455403</f>
        <v>9.5444554030000006</v>
      </c>
      <c r="DL3">
        <f>7.523887524</f>
        <v>7.523887524</v>
      </c>
      <c r="DM3">
        <f>7.4755883</f>
        <v>7.4755883000000001</v>
      </c>
      <c r="DN3">
        <f>5.686604886</f>
        <v>5.6866048859999996</v>
      </c>
      <c r="DO3">
        <f>5.683056268</f>
        <v>5.6830562679999996</v>
      </c>
      <c r="DP3">
        <f>3.876693134</f>
        <v>3.8766931339999999</v>
      </c>
      <c r="DQ3">
        <f>4.752376188</f>
        <v>4.7523761880000004</v>
      </c>
      <c r="DR3">
        <f>6.010452962</f>
        <v>6.0104529619999996</v>
      </c>
      <c r="DS3">
        <f>7.100993641</f>
        <v>7.1009936409999996</v>
      </c>
      <c r="DT3">
        <f>5.439892545</f>
        <v>5.4398925450000002</v>
      </c>
      <c r="DU3">
        <f>3.142199209</f>
        <v>3.1421992090000002</v>
      </c>
    </row>
    <row r="4" spans="1:125">
      <c r="A4" t="str">
        <f>"    Bank of America Corp"</f>
        <v xml:space="preserve">    Bank of America Corp</v>
      </c>
      <c r="B4" t="str">
        <f>"BAC US Equity"</f>
        <v>BAC US Equity</v>
      </c>
      <c r="E4" t="str">
        <f t="shared" ref="E4:E23" si="0">"Expression"</f>
        <v>Expression</v>
      </c>
      <c r="F4" t="e">
        <f ca="1">IF(AND($B$185=1,LEN($F$187) * LEN($F$188)&gt;0),($F$187/$F$188)*100,HLOOKUP(INDIRECT(ADDRESS(2,COLUMN())),OFFSET($BN$2,0,0,ROW()-1,60),ROW()-1,FALSE))</f>
        <v>#NAME?</v>
      </c>
      <c r="G4" t="str">
        <f ca="1">IF(AND($B$185=1,LEN($G$187) * LEN($G$188)&gt;0),($G$187/$G$188)*100,HLOOKUP(INDIRECT(ADDRESS(2,COLUMN())),OFFSET($BN$2,0,0,ROW()-1,60),ROW()-1,FALSE))</f>
        <v/>
      </c>
      <c r="H4" t="str">
        <f ca="1">IF(AND($B$185=1,LEN($H$187) * LEN($H$188)&gt;0),($H$187/$H$188)*100,HLOOKUP(INDIRECT(ADDRESS(2,COLUMN())),OFFSET($BN$2,0,0,ROW()-1,60),ROW()-1,FALSE))</f>
        <v/>
      </c>
      <c r="I4" t="str">
        <f ca="1">IF(AND($B$185=1,LEN($I$187) * LEN($I$188)&gt;0),($I$187/$I$188)*100,HLOOKUP(INDIRECT(ADDRESS(2,COLUMN())),OFFSET($BN$2,0,0,ROW()-1,60),ROW()-1,FALSE))</f>
        <v/>
      </c>
      <c r="J4" t="str">
        <f ca="1">IF(AND($B$185=1,LEN($J$187) * LEN($J$188)&gt;0),($J$187/$J$188)*100,HLOOKUP(INDIRECT(ADDRESS(2,COLUMN())),OFFSET($BN$2,0,0,ROW()-1,60),ROW()-1,FALSE))</f>
        <v/>
      </c>
      <c r="K4" t="str">
        <f ca="1">IF(AND($B$185=1,LEN($K$187) * LEN($K$188)&gt;0),($K$187/$K$188)*100,HLOOKUP(INDIRECT(ADDRESS(2,COLUMN())),OFFSET($BN$2,0,0,ROW()-1,60),ROW()-1,FALSE))</f>
        <v/>
      </c>
      <c r="L4" t="str">
        <f ca="1">IF(AND($B$185=1,LEN($L$187) * LEN($L$188)&gt;0),($L$187/$L$188)*100,HLOOKUP(INDIRECT(ADDRESS(2,COLUMN())),OFFSET($BN$2,0,0,ROW()-1,60),ROW()-1,FALSE))</f>
        <v/>
      </c>
      <c r="M4" t="str">
        <f ca="1">IF(AND($B$185=1,LEN($M$187) * LEN($M$188)&gt;0),($M$187/$M$188)*100,HLOOKUP(INDIRECT(ADDRESS(2,COLUMN())),OFFSET($BN$2,0,0,ROW()-1,60),ROW()-1,FALSE))</f>
        <v/>
      </c>
      <c r="N4" t="str">
        <f ca="1">IF(AND($B$185=1,LEN($N$187) * LEN($N$188)&gt;0),($N$187/$N$188)*100,HLOOKUP(INDIRECT(ADDRESS(2,COLUMN())),OFFSET($BN$2,0,0,ROW()-1,60),ROW()-1,FALSE))</f>
        <v/>
      </c>
      <c r="O4" t="str">
        <f ca="1">IF(AND($B$185=1,LEN($O$187) * LEN($O$188)&gt;0),($O$187/$O$188)*100,HLOOKUP(INDIRECT(ADDRESS(2,COLUMN())),OFFSET($BN$2,0,0,ROW()-1,60),ROW()-1,FALSE))</f>
        <v/>
      </c>
      <c r="P4" t="str">
        <f ca="1">IF(AND($B$185=1,LEN($P$187) * LEN($P$188)&gt;0),($P$187/$P$188)*100,HLOOKUP(INDIRECT(ADDRESS(2,COLUMN())),OFFSET($BN$2,0,0,ROW()-1,60),ROW()-1,FALSE))</f>
        <v/>
      </c>
      <c r="Q4" t="str">
        <f ca="1">IF(AND($B$185=1,LEN($Q$187) * LEN($Q$188)&gt;0),($Q$187/$Q$188)*100,HLOOKUP(INDIRECT(ADDRESS(2,COLUMN())),OFFSET($BN$2,0,0,ROW()-1,60),ROW()-1,FALSE))</f>
        <v/>
      </c>
      <c r="R4" t="str">
        <f ca="1">IF(AND($B$185=1,LEN($R$187) * LEN($R$188)&gt;0),($R$187/$R$188)*100,HLOOKUP(INDIRECT(ADDRESS(2,COLUMN())),OFFSET($BN$2,0,0,ROW()-1,60),ROW()-1,FALSE))</f>
        <v/>
      </c>
      <c r="S4" t="str">
        <f ca="1">IF(AND($B$185=1,LEN($S$187) * LEN($S$188)&gt;0),($S$187/$S$188)*100,HLOOKUP(INDIRECT(ADDRESS(2,COLUMN())),OFFSET($BN$2,0,0,ROW()-1,60),ROW()-1,FALSE))</f>
        <v/>
      </c>
      <c r="T4" t="str">
        <f ca="1">IF(AND($B$185=1,LEN($T$187) * LEN($T$188)&gt;0),($T$187/$T$188)*100,HLOOKUP(INDIRECT(ADDRESS(2,COLUMN())),OFFSET($BN$2,0,0,ROW()-1,60),ROW()-1,FALSE))</f>
        <v/>
      </c>
      <c r="U4" t="str">
        <f ca="1">IF(AND($B$185=1,LEN($U$187) * LEN($U$188)&gt;0),($U$187/$U$188)*100,HLOOKUP(INDIRECT(ADDRESS(2,COLUMN())),OFFSET($BN$2,0,0,ROW()-1,60),ROW()-1,FALSE))</f>
        <v/>
      </c>
      <c r="V4" t="str">
        <f ca="1">IF(AND($B$185=1,LEN($V$187) * LEN($V$188)&gt;0),($V$187/$V$188)*100,HLOOKUP(INDIRECT(ADDRESS(2,COLUMN())),OFFSET($BN$2,0,0,ROW()-1,60),ROW()-1,FALSE))</f>
        <v/>
      </c>
      <c r="W4" t="str">
        <f ca="1">IF(AND($B$185=1,LEN($W$187) * LEN($W$188)&gt;0),($W$187/$W$188)*100,HLOOKUP(INDIRECT(ADDRESS(2,COLUMN())),OFFSET($BN$2,0,0,ROW()-1,60),ROW()-1,FALSE))</f>
        <v/>
      </c>
      <c r="X4" t="str">
        <f ca="1">IF(AND($B$185=1,LEN($X$187) * LEN($X$188)&gt;0),($X$187/$X$188)*100,HLOOKUP(INDIRECT(ADDRESS(2,COLUMN())),OFFSET($BN$2,0,0,ROW()-1,60),ROW()-1,FALSE))</f>
        <v/>
      </c>
      <c r="Y4" t="str">
        <f ca="1">IF(AND($B$185=1,LEN($Y$187) * LEN($Y$188)&gt;0),($Y$187/$Y$188)*100,HLOOKUP(INDIRECT(ADDRESS(2,COLUMN())),OFFSET($BN$2,0,0,ROW()-1,60),ROW()-1,FALSE))</f>
        <v/>
      </c>
      <c r="Z4" t="str">
        <f ca="1">IF(AND($B$185=1,LEN($Z$187) * LEN($Z$188)&gt;0),($Z$187/$Z$188)*100,HLOOKUP(INDIRECT(ADDRESS(2,COLUMN())),OFFSET($BN$2,0,0,ROW()-1,60),ROW()-1,FALSE))</f>
        <v/>
      </c>
      <c r="AA4" t="str">
        <f ca="1">IF(AND($B$185=1,LEN($AA$187) * LEN($AA$188)&gt;0),($AA$187/$AA$188)*100,HLOOKUP(INDIRECT(ADDRESS(2,COLUMN())),OFFSET($BN$2,0,0,ROW()-1,60),ROW()-1,FALSE))</f>
        <v/>
      </c>
      <c r="AB4" t="str">
        <f ca="1">IF(AND($B$185=1,LEN($AB$187) * LEN($AB$188)&gt;0),($AB$187/$AB$188)*100,HLOOKUP(INDIRECT(ADDRESS(2,COLUMN())),OFFSET($BN$2,0,0,ROW()-1,60),ROW()-1,FALSE))</f>
        <v/>
      </c>
      <c r="AC4" t="str">
        <f ca="1">IF(AND($B$185=1,LEN($AC$187) * LEN($AC$188)&gt;0),($AC$187/$AC$188)*100,HLOOKUP(INDIRECT(ADDRESS(2,COLUMN())),OFFSET($BN$2,0,0,ROW()-1,60),ROW()-1,FALSE))</f>
        <v/>
      </c>
      <c r="AD4" t="str">
        <f ca="1">IF(AND($B$185=1,LEN($AD$187) * LEN($AD$188)&gt;0),($AD$187/$AD$188)*100,HLOOKUP(INDIRECT(ADDRESS(2,COLUMN())),OFFSET($BN$2,0,0,ROW()-1,60),ROW()-1,FALSE))</f>
        <v/>
      </c>
      <c r="AE4" t="str">
        <f ca="1">IF(AND($B$185=1,LEN($AE$187) * LEN($AE$188)&gt;0),($AE$187/$AE$188)*100,HLOOKUP(INDIRECT(ADDRESS(2,COLUMN())),OFFSET($BN$2,0,0,ROW()-1,60),ROW()-1,FALSE))</f>
        <v/>
      </c>
      <c r="AF4" t="str">
        <f ca="1">IF(AND($B$185=1,LEN($AF$187) * LEN($AF$188)&gt;0),($AF$187/$AF$188)*100,HLOOKUP(INDIRECT(ADDRESS(2,COLUMN())),OFFSET($BN$2,0,0,ROW()-1,60),ROW()-1,FALSE))</f>
        <v/>
      </c>
      <c r="AG4" t="str">
        <f ca="1">IF(AND($B$185=1,LEN($AG$187) * LEN($AG$188)&gt;0),($AG$187/$AG$188)*100,HLOOKUP(INDIRECT(ADDRESS(2,COLUMN())),OFFSET($BN$2,0,0,ROW()-1,60),ROW()-1,FALSE))</f>
        <v/>
      </c>
      <c r="AH4" t="str">
        <f ca="1">IF(AND($B$185=1,LEN($AH$187) * LEN($AH$188)&gt;0),($AH$187/$AH$188)*100,HLOOKUP(INDIRECT(ADDRESS(2,COLUMN())),OFFSET($BN$2,0,0,ROW()-1,60),ROW()-1,FALSE))</f>
        <v/>
      </c>
      <c r="AI4" t="str">
        <f ca="1">IF(AND($B$185=1,LEN($AI$187) * LEN($AI$188)&gt;0),($AI$187/$AI$188)*100,HLOOKUP(INDIRECT(ADDRESS(2,COLUMN())),OFFSET($BN$2,0,0,ROW()-1,60),ROW()-1,FALSE))</f>
        <v/>
      </c>
      <c r="AJ4" t="str">
        <f ca="1">IF(AND($B$185=1,LEN($AJ$187) * LEN($AJ$188)&gt;0),($AJ$187/$AJ$188)*100,HLOOKUP(INDIRECT(ADDRESS(2,COLUMN())),OFFSET($BN$2,0,0,ROW()-1,60),ROW()-1,FALSE))</f>
        <v/>
      </c>
      <c r="AK4">
        <f ca="1">IF(AND($B$185=1,LEN($AK$187) * LEN($AK$188)&gt;0),($AK$187/$AK$188)*100,HLOOKUP(INDIRECT(ADDRESS(2,COLUMN())),OFFSET($BN$2,0,0,ROW()-1,60),ROW()-1,FALSE))</f>
        <v>0.54836389799999996</v>
      </c>
      <c r="AL4">
        <f ca="1">IF(AND($B$185=1,LEN($AL$187) * LEN($AL$188)&gt;0),($AL$187/$AL$188)*100,HLOOKUP(INDIRECT(ADDRESS(2,COLUMN())),OFFSET($BN$2,0,0,ROW()-1,60),ROW()-1,FALSE))</f>
        <v>2.5962981489999999</v>
      </c>
      <c r="AM4">
        <f ca="1">IF(AND($B$185=1,LEN($AM$187) * LEN($AM$188)&gt;0),($AM$187/$AM$188)*100,HLOOKUP(INDIRECT(ADDRESS(2,COLUMN())),OFFSET($BN$2,0,0,ROW()-1,60),ROW()-1,FALSE))</f>
        <v>2.7224404899999999</v>
      </c>
      <c r="AN4">
        <f ca="1">IF(AND($B$185=1,LEN($AN$187) * LEN($AN$188)&gt;0),($AN$187/$AN$188)*100,HLOOKUP(INDIRECT(ADDRESS(2,COLUMN())),OFFSET($BN$2,0,0,ROW()-1,60),ROW()-1,FALSE))</f>
        <v>1.465752138</v>
      </c>
      <c r="AO4">
        <f ca="1">IF(AND($B$185=1,LEN($AO$187) * LEN($AO$188)&gt;0),($AO$187/$AO$188)*100,HLOOKUP(INDIRECT(ADDRESS(2,COLUMN())),OFFSET($BN$2,0,0,ROW()-1,60),ROW()-1,FALSE))</f>
        <v>2.0827320829999998</v>
      </c>
      <c r="AP4">
        <f ca="1">IF(AND($B$185=1,LEN($AP$187) * LEN($AP$188)&gt;0),($AP$187/$AP$188)*100,HLOOKUP(INDIRECT(ADDRESS(2,COLUMN())),OFFSET($BN$2,0,0,ROW()-1,60),ROW()-1,FALSE))</f>
        <v>1.3379634359999999</v>
      </c>
      <c r="AQ4">
        <f ca="1">IF(AND($B$185=1,LEN($AQ$187) * LEN($AQ$188)&gt;0),($AQ$187/$AQ$188)*100,HLOOKUP(INDIRECT(ADDRESS(2,COLUMN())),OFFSET($BN$2,0,0,ROW()-1,60),ROW()-1,FALSE))</f>
        <v>1.9388338409999999</v>
      </c>
      <c r="AR4">
        <f ca="1">IF(AND($B$185=1,LEN($AR$187) * LEN($AR$188)&gt;0),($AR$187/$AR$188)*100,HLOOKUP(INDIRECT(ADDRESS(2,COLUMN())),OFFSET($BN$2,0,0,ROW()-1,60),ROW()-1,FALSE))</f>
        <v>4.5591182359999998</v>
      </c>
      <c r="AS4">
        <f ca="1">IF(AND($B$185=1,LEN($AS$187) * LEN($AS$188)&gt;0),($AS$187/$AS$188)*100,HLOOKUP(INDIRECT(ADDRESS(2,COLUMN())),OFFSET($BN$2,0,0,ROW()-1,60),ROW()-1,FALSE))</f>
        <v>3.3183513439999999</v>
      </c>
      <c r="AT4">
        <f ca="1">IF(AND($B$185=1,LEN($AT$187) * LEN($AT$188)&gt;0),($AT$187/$AT$188)*100,HLOOKUP(INDIRECT(ADDRESS(2,COLUMN())),OFFSET($BN$2,0,0,ROW()-1,60),ROW()-1,FALSE))</f>
        <v>1.879839786</v>
      </c>
      <c r="AU4">
        <f ca="1">IF(AND($B$185=1,LEN($AU$187) * LEN($AU$188)&gt;0),($AU$187/$AU$188)*100,HLOOKUP(INDIRECT(ADDRESS(2,COLUMN())),OFFSET($BN$2,0,0,ROW()-1,60),ROW()-1,FALSE))</f>
        <v>1.2824744210000001</v>
      </c>
      <c r="AV4">
        <f ca="1">IF(AND($B$185=1,LEN($AV$187) * LEN($AV$188)&gt;0),($AV$187/$AV$188)*100,HLOOKUP(INDIRECT(ADDRESS(2,COLUMN())),OFFSET($BN$2,0,0,ROW()-1,60),ROW()-1,FALSE))</f>
        <v>2.4233227570000002</v>
      </c>
      <c r="AW4">
        <f ca="1">IF(AND($B$185=1,LEN($AW$187) * LEN($AW$188)&gt;0),($AW$187/$AW$188)*100,HLOOKUP(INDIRECT(ADDRESS(2,COLUMN())),OFFSET($BN$2,0,0,ROW()-1,60),ROW()-1,FALSE))</f>
        <v>1.825755561</v>
      </c>
      <c r="AX4">
        <f ca="1">IF(AND($B$185=1,LEN($AX$187) * LEN($AX$188)&gt;0),($AX$187/$AX$188)*100,HLOOKUP(INDIRECT(ADDRESS(2,COLUMN())),OFFSET($BN$2,0,0,ROW()-1,60),ROW()-1,FALSE))</f>
        <v>3.9463886819999998</v>
      </c>
      <c r="AY4">
        <f ca="1">IF(AND($B$185=1,LEN($AY$187) * LEN($AY$188)&gt;0),($AY$187/$AY$188)*100,HLOOKUP(INDIRECT(ADDRESS(2,COLUMN())),OFFSET($BN$2,0,0,ROW()-1,60),ROW()-1,FALSE))</f>
        <v>2.7171388759999999</v>
      </c>
      <c r="AZ4">
        <f ca="1">IF(AND($B$185=1,LEN($AZ$187) * LEN($AZ$188)&gt;0),($AZ$187/$AZ$188)*100,HLOOKUP(INDIRECT(ADDRESS(2,COLUMN())),OFFSET($BN$2,0,0,ROW()-1,60),ROW()-1,FALSE))</f>
        <v>5.1832621989999996</v>
      </c>
      <c r="BA4">
        <f ca="1">IF(AND($B$185=1,LEN($BA$187) * LEN($BA$188)&gt;0),($BA$187/$BA$188)*100,HLOOKUP(INDIRECT(ADDRESS(2,COLUMN())),OFFSET($BN$2,0,0,ROW()-1,60),ROW()-1,FALSE))</f>
        <v>5.4446695690000002</v>
      </c>
      <c r="BB4">
        <f ca="1">IF(AND($B$185=1,LEN($BB$187) * LEN($BB$188)&gt;0),($BB$187/$BB$188)*100,HLOOKUP(INDIRECT(ADDRESS(2,COLUMN())),OFFSET($BN$2,0,0,ROW()-1,60),ROW()-1,FALSE))</f>
        <v>-2.8938906750000002</v>
      </c>
      <c r="BC4">
        <f ca="1">IF(AND($B$185=1,LEN($BC$187) * LEN($BC$188)&gt;0),($BC$187/$BC$188)*100,HLOOKUP(INDIRECT(ADDRESS(2,COLUMN())),OFFSET($BN$2,0,0,ROW()-1,60),ROW()-1,FALSE))</f>
        <v>9.8834932450000004</v>
      </c>
      <c r="BD4">
        <f ca="1">IF(AND($B$185=1,LEN($BD$187) * LEN($BD$188)&gt;0),($BD$187/$BD$188)*100,HLOOKUP(INDIRECT(ADDRESS(2,COLUMN())),OFFSET($BN$2,0,0,ROW()-1,60),ROW()-1,FALSE))</f>
        <v>7.5518936639999996</v>
      </c>
      <c r="BE4">
        <f ca="1">IF(AND($B$185=1,LEN($BE$187) * LEN($BE$188)&gt;0),($BE$187/$BE$188)*100,HLOOKUP(INDIRECT(ADDRESS(2,COLUMN())),OFFSET($BN$2,0,0,ROW()-1,60),ROW()-1,FALSE))</f>
        <v>7.2358380469999997</v>
      </c>
      <c r="BF4">
        <f ca="1">IF(AND($B$185=1,LEN($BF$187) * LEN($BF$188)&gt;0),($BF$187/$BF$188)*100,HLOOKUP(INDIRECT(ADDRESS(2,COLUMN())),OFFSET($BN$2,0,0,ROW()-1,60),ROW()-1,FALSE))</f>
        <v>8.5141433620000004</v>
      </c>
      <c r="BG4">
        <f ca="1">IF(AND($B$185=1,LEN($BG$187) * LEN($BG$188)&gt;0),($BG$187/$BG$188)*100,HLOOKUP(INDIRECT(ADDRESS(2,COLUMN())),OFFSET($BN$2,0,0,ROW()-1,60),ROW()-1,FALSE))</f>
        <v>5.6830562679999996</v>
      </c>
      <c r="BH4">
        <f ca="1">IF(AND($B$185=1,LEN($BH$187) * LEN($BH$188)&gt;0),($BH$187/$BH$188)*100,HLOOKUP(INDIRECT(ADDRESS(2,COLUMN())),OFFSET($BN$2,0,0,ROW()-1,60),ROW()-1,FALSE))</f>
        <v>-99.697793899999994</v>
      </c>
      <c r="BI4">
        <f ca="1">IF(AND($B$185=1,LEN($BI$187) * LEN($BI$188)&gt;0),($BI$187/$BI$188)*100,HLOOKUP(INDIRECT(ADDRESS(2,COLUMN())),OFFSET($BN$2,0,0,ROW()-1,60),ROW()-1,FALSE))</f>
        <v>2.3440116080000002</v>
      </c>
      <c r="BJ4">
        <f ca="1">IF(AND($B$185=1,LEN($BJ$187) * LEN($BJ$188)&gt;0),($BJ$187/$BJ$188)*100,HLOOKUP(INDIRECT(ADDRESS(2,COLUMN())),OFFSET($BN$2,0,0,ROW()-1,60),ROW()-1,FALSE))</f>
        <v>-6.3353870880000001</v>
      </c>
      <c r="BK4">
        <f ca="1">IF(AND($B$185=1,LEN($BK$187) * LEN($BK$188)&gt;0),($BK$187/$BK$188)*100,HLOOKUP(INDIRECT(ADDRESS(2,COLUMN())),OFFSET($BN$2,0,0,ROW()-1,60),ROW()-1,FALSE))</f>
        <v>6.5730337079999996</v>
      </c>
      <c r="BL4">
        <f ca="1">IF(AND($B$185=1,LEN($BL$187) * LEN($BL$188)&gt;0),($BL$187/$BL$188)*100,HLOOKUP(INDIRECT(ADDRESS(2,COLUMN())),OFFSET($BN$2,0,0,ROW()-1,60),ROW()-1,FALSE))</f>
        <v>3.0803004839999999</v>
      </c>
      <c r="BM4" t="str">
        <f ca="1">IF(AND($B$185=1,LEN($BM$187) * LEN($BM$188)&gt;0),($BM$187/$BM$188)*100,HLOOKUP(INDIRECT(ADDRESS(2,COLUMN())),OFFSET($BN$2,0,0,ROW()-1,60),ROW()-1,FALSE))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  <c r="BT4" t="str">
        <f>""</f>
        <v/>
      </c>
      <c r="BU4" t="str">
        <f>""</f>
        <v/>
      </c>
      <c r="BV4" t="str">
        <f>""</f>
        <v/>
      </c>
      <c r="BW4" t="str">
        <f>""</f>
        <v/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  <c r="CH4" t="str">
        <f>""</f>
        <v/>
      </c>
      <c r="CI4" t="str">
        <f>""</f>
        <v/>
      </c>
      <c r="CJ4" t="str">
        <f>""</f>
        <v/>
      </c>
      <c r="CK4" t="str">
        <f>""</f>
        <v/>
      </c>
      <c r="CL4" t="str">
        <f>""</f>
        <v/>
      </c>
      <c r="CM4" t="str">
        <f>""</f>
        <v/>
      </c>
      <c r="CN4" t="str">
        <f>""</f>
        <v/>
      </c>
      <c r="CO4" t="str">
        <f>""</f>
        <v/>
      </c>
      <c r="CP4" t="str">
        <f>""</f>
        <v/>
      </c>
      <c r="CQ4" t="str">
        <f>""</f>
        <v/>
      </c>
      <c r="CR4" t="str">
        <f>""</f>
        <v/>
      </c>
      <c r="CS4">
        <f>0.548363898</f>
        <v>0.54836389799999996</v>
      </c>
      <c r="CT4">
        <f>2.596298149</f>
        <v>2.5962981489999999</v>
      </c>
      <c r="CU4">
        <f>2.72244049</f>
        <v>2.7224404899999999</v>
      </c>
      <c r="CV4">
        <f>1.465752138</f>
        <v>1.465752138</v>
      </c>
      <c r="CW4">
        <f>2.082732083</f>
        <v>2.0827320829999998</v>
      </c>
      <c r="CX4">
        <f>1.337963436</f>
        <v>1.3379634359999999</v>
      </c>
      <c r="CY4">
        <f>1.938833841</f>
        <v>1.9388338409999999</v>
      </c>
      <c r="CZ4">
        <f>4.559118236</f>
        <v>4.5591182359999998</v>
      </c>
      <c r="DA4">
        <f>3.318351344</f>
        <v>3.3183513439999999</v>
      </c>
      <c r="DB4">
        <f>1.879839786</f>
        <v>1.879839786</v>
      </c>
      <c r="DC4">
        <f>1.282474421</f>
        <v>1.2824744210000001</v>
      </c>
      <c r="DD4">
        <f>2.423322757</f>
        <v>2.4233227570000002</v>
      </c>
      <c r="DE4">
        <f>1.825755561</f>
        <v>1.825755561</v>
      </c>
      <c r="DF4">
        <f>3.946388682</f>
        <v>3.9463886819999998</v>
      </c>
      <c r="DG4">
        <f>2.717138876</f>
        <v>2.7171388759999999</v>
      </c>
      <c r="DH4">
        <f>5.183262199</f>
        <v>5.1832621989999996</v>
      </c>
      <c r="DI4">
        <f>5.444669569</f>
        <v>5.4446695690000002</v>
      </c>
      <c r="DJ4">
        <f>-2.893890675</f>
        <v>-2.8938906750000002</v>
      </c>
      <c r="DK4">
        <f>9.883493245</f>
        <v>9.8834932450000004</v>
      </c>
      <c r="DL4">
        <f>7.551893664</f>
        <v>7.5518936639999996</v>
      </c>
      <c r="DM4">
        <f>7.235838047</f>
        <v>7.2358380469999997</v>
      </c>
      <c r="DN4">
        <f>8.514143362</f>
        <v>8.5141433620000004</v>
      </c>
      <c r="DO4">
        <f>5.683056268</f>
        <v>5.6830562679999996</v>
      </c>
      <c r="DP4">
        <f>-99.6977939</f>
        <v>-99.697793899999994</v>
      </c>
      <c r="DQ4">
        <f>2.344011608</f>
        <v>2.3440116080000002</v>
      </c>
      <c r="DR4">
        <f>-6.335387088</f>
        <v>-6.3353870880000001</v>
      </c>
      <c r="DS4">
        <f>6.573033708</f>
        <v>6.5730337079999996</v>
      </c>
      <c r="DT4">
        <f>3.080300484</f>
        <v>3.0803004839999999</v>
      </c>
      <c r="DU4" t="str">
        <f>""</f>
        <v/>
      </c>
    </row>
    <row r="5" spans="1:125">
      <c r="A5" t="str">
        <f>"    Citigroup Inc"</f>
        <v xml:space="preserve">    Citigroup Inc</v>
      </c>
      <c r="B5" t="str">
        <f>"C US Equity"</f>
        <v>C US Equity</v>
      </c>
      <c r="E5" t="str">
        <f t="shared" si="0"/>
        <v>Expression</v>
      </c>
      <c r="F5" t="e">
        <f ca="1">IF(AND($B$185=1,LEN($F$189) * LEN($F$190)&gt;0),($F$189/$F$190)*100,HLOOKUP(INDIRECT(ADDRESS(2,COLUMN())),OFFSET($BN$2,0,0,ROW()-1,60),ROW()-1,FALSE))</f>
        <v>#NAME?</v>
      </c>
      <c r="G5" t="str">
        <f ca="1">IF(AND($B$185=1,LEN($G$189) * LEN($G$190)&gt;0),($G$189/$G$190)*100,HLOOKUP(INDIRECT(ADDRESS(2,COLUMN())),OFFSET($BN$2,0,0,ROW()-1,60),ROW()-1,FALSE))</f>
        <v/>
      </c>
      <c r="H5" t="str">
        <f ca="1">IF(AND($B$185=1,LEN($H$189) * LEN($H$190)&gt;0),($H$189/$H$190)*100,HLOOKUP(INDIRECT(ADDRESS(2,COLUMN())),OFFSET($BN$2,0,0,ROW()-1,60),ROW()-1,FALSE))</f>
        <v/>
      </c>
      <c r="I5" t="str">
        <f ca="1">IF(AND($B$185=1,LEN($I$189) * LEN($I$190)&gt;0),($I$189/$I$190)*100,HLOOKUP(INDIRECT(ADDRESS(2,COLUMN())),OFFSET($BN$2,0,0,ROW()-1,60),ROW()-1,FALSE))</f>
        <v/>
      </c>
      <c r="J5" t="str">
        <f ca="1">IF(AND($B$185=1,LEN($J$189) * LEN($J$190)&gt;0),($J$189/$J$190)*100,HLOOKUP(INDIRECT(ADDRESS(2,COLUMN())),OFFSET($BN$2,0,0,ROW()-1,60),ROW()-1,FALSE))</f>
        <v/>
      </c>
      <c r="K5" t="str">
        <f ca="1">IF(AND($B$185=1,LEN($K$189) * LEN($K$190)&gt;0),($K$189/$K$190)*100,HLOOKUP(INDIRECT(ADDRESS(2,COLUMN())),OFFSET($BN$2,0,0,ROW()-1,60),ROW()-1,FALSE))</f>
        <v/>
      </c>
      <c r="L5" t="str">
        <f ca="1">IF(AND($B$185=1,LEN($L$189) * LEN($L$190)&gt;0),($L$189/$L$190)*100,HLOOKUP(INDIRECT(ADDRESS(2,COLUMN())),OFFSET($BN$2,0,0,ROW()-1,60),ROW()-1,FALSE))</f>
        <v/>
      </c>
      <c r="M5" t="str">
        <f ca="1">IF(AND($B$185=1,LEN($M$189) * LEN($M$190)&gt;0),($M$189/$M$190)*100,HLOOKUP(INDIRECT(ADDRESS(2,COLUMN())),OFFSET($BN$2,0,0,ROW()-1,60),ROW()-1,FALSE))</f>
        <v/>
      </c>
      <c r="N5" t="str">
        <f ca="1">IF(AND($B$185=1,LEN($N$189) * LEN($N$190)&gt;0),($N$189/$N$190)*100,HLOOKUP(INDIRECT(ADDRESS(2,COLUMN())),OFFSET($BN$2,0,0,ROW()-1,60),ROW()-1,FALSE))</f>
        <v/>
      </c>
      <c r="O5" t="str">
        <f ca="1">IF(AND($B$185=1,LEN($O$189) * LEN($O$190)&gt;0),($O$189/$O$190)*100,HLOOKUP(INDIRECT(ADDRESS(2,COLUMN())),OFFSET($BN$2,0,0,ROW()-1,60),ROW()-1,FALSE))</f>
        <v/>
      </c>
      <c r="P5" t="str">
        <f ca="1">IF(AND($B$185=1,LEN($P$189) * LEN($P$190)&gt;0),($P$189/$P$190)*100,HLOOKUP(INDIRECT(ADDRESS(2,COLUMN())),OFFSET($BN$2,0,0,ROW()-1,60),ROW()-1,FALSE))</f>
        <v/>
      </c>
      <c r="Q5" t="str">
        <f ca="1">IF(AND($B$185=1,LEN($Q$189) * LEN($Q$190)&gt;0),($Q$189/$Q$190)*100,HLOOKUP(INDIRECT(ADDRESS(2,COLUMN())),OFFSET($BN$2,0,0,ROW()-1,60),ROW()-1,FALSE))</f>
        <v/>
      </c>
      <c r="R5" t="str">
        <f ca="1">IF(AND($B$185=1,LEN($R$189) * LEN($R$190)&gt;0),($R$189/$R$190)*100,HLOOKUP(INDIRECT(ADDRESS(2,COLUMN())),OFFSET($BN$2,0,0,ROW()-1,60),ROW()-1,FALSE))</f>
        <v/>
      </c>
      <c r="S5" t="str">
        <f ca="1">IF(AND($B$185=1,LEN($S$189) * LEN($S$190)&gt;0),($S$189/$S$190)*100,HLOOKUP(INDIRECT(ADDRESS(2,COLUMN())),OFFSET($BN$2,0,0,ROW()-1,60),ROW()-1,FALSE))</f>
        <v/>
      </c>
      <c r="T5" t="str">
        <f ca="1">IF(AND($B$185=1,LEN($T$189) * LEN($T$190)&gt;0),($T$189/$T$190)*100,HLOOKUP(INDIRECT(ADDRESS(2,COLUMN())),OFFSET($BN$2,0,0,ROW()-1,60),ROW()-1,FALSE))</f>
        <v/>
      </c>
      <c r="U5" t="str">
        <f ca="1">IF(AND($B$185=1,LEN($U$189) * LEN($U$190)&gt;0),($U$189/$U$190)*100,HLOOKUP(INDIRECT(ADDRESS(2,COLUMN())),OFFSET($BN$2,0,0,ROW()-1,60),ROW()-1,FALSE))</f>
        <v/>
      </c>
      <c r="V5" t="str">
        <f ca="1">IF(AND($B$185=1,LEN($V$189) * LEN($V$190)&gt;0),($V$189/$V$190)*100,HLOOKUP(INDIRECT(ADDRESS(2,COLUMN())),OFFSET($BN$2,0,0,ROW()-1,60),ROW()-1,FALSE))</f>
        <v/>
      </c>
      <c r="W5" t="str">
        <f ca="1">IF(AND($B$185=1,LEN($W$189) * LEN($W$190)&gt;0),($W$189/$W$190)*100,HLOOKUP(INDIRECT(ADDRESS(2,COLUMN())),OFFSET($BN$2,0,0,ROW()-1,60),ROW()-1,FALSE))</f>
        <v/>
      </c>
      <c r="X5" t="str">
        <f ca="1">IF(AND($B$185=1,LEN($X$189) * LEN($X$190)&gt;0),($X$189/$X$190)*100,HLOOKUP(INDIRECT(ADDRESS(2,COLUMN())),OFFSET($BN$2,0,0,ROW()-1,60),ROW()-1,FALSE))</f>
        <v/>
      </c>
      <c r="Y5" t="str">
        <f ca="1">IF(AND($B$185=1,LEN($Y$189) * LEN($Y$190)&gt;0),($Y$189/$Y$190)*100,HLOOKUP(INDIRECT(ADDRESS(2,COLUMN())),OFFSET($BN$2,0,0,ROW()-1,60),ROW()-1,FALSE))</f>
        <v/>
      </c>
      <c r="Z5" t="str">
        <f ca="1">IF(AND($B$185=1,LEN($Z$189) * LEN($Z$190)&gt;0),($Z$189/$Z$190)*100,HLOOKUP(INDIRECT(ADDRESS(2,COLUMN())),OFFSET($BN$2,0,0,ROW()-1,60),ROW()-1,FALSE))</f>
        <v/>
      </c>
      <c r="AA5" t="str">
        <f ca="1">IF(AND($B$185=1,LEN($AA$189) * LEN($AA$190)&gt;0),($AA$189/$AA$190)*100,HLOOKUP(INDIRECT(ADDRESS(2,COLUMN())),OFFSET($BN$2,0,0,ROW()-1,60),ROW()-1,FALSE))</f>
        <v/>
      </c>
      <c r="AB5" t="str">
        <f ca="1">IF(AND($B$185=1,LEN($AB$189) * LEN($AB$190)&gt;0),($AB$189/$AB$190)*100,HLOOKUP(INDIRECT(ADDRESS(2,COLUMN())),OFFSET($BN$2,0,0,ROW()-1,60),ROW()-1,FALSE))</f>
        <v/>
      </c>
      <c r="AC5" t="str">
        <f ca="1">IF(AND($B$185=1,LEN($AC$189) * LEN($AC$190)&gt;0),($AC$189/$AC$190)*100,HLOOKUP(INDIRECT(ADDRESS(2,COLUMN())),OFFSET($BN$2,0,0,ROW()-1,60),ROW()-1,FALSE))</f>
        <v/>
      </c>
      <c r="AD5" t="str">
        <f ca="1">IF(AND($B$185=1,LEN($AD$189) * LEN($AD$190)&gt;0),($AD$189/$AD$190)*100,HLOOKUP(INDIRECT(ADDRESS(2,COLUMN())),OFFSET($BN$2,0,0,ROW()-1,60),ROW()-1,FALSE))</f>
        <v/>
      </c>
      <c r="AE5" t="str">
        <f ca="1">IF(AND($B$185=1,LEN($AE$189) * LEN($AE$190)&gt;0),($AE$189/$AE$190)*100,HLOOKUP(INDIRECT(ADDRESS(2,COLUMN())),OFFSET($BN$2,0,0,ROW()-1,60),ROW()-1,FALSE))</f>
        <v/>
      </c>
      <c r="AF5" t="str">
        <f ca="1">IF(AND($B$185=1,LEN($AF$189) * LEN($AF$190)&gt;0),($AF$189/$AF$190)*100,HLOOKUP(INDIRECT(ADDRESS(2,COLUMN())),OFFSET($BN$2,0,0,ROW()-1,60),ROW()-1,FALSE))</f>
        <v/>
      </c>
      <c r="AG5" t="str">
        <f ca="1">IF(AND($B$185=1,LEN($AG$189) * LEN($AG$190)&gt;0),($AG$189/$AG$190)*100,HLOOKUP(INDIRECT(ADDRESS(2,COLUMN())),OFFSET($BN$2,0,0,ROW()-1,60),ROW()-1,FALSE))</f>
        <v/>
      </c>
      <c r="AH5" t="str">
        <f ca="1">IF(AND($B$185=1,LEN($AH$189) * LEN($AH$190)&gt;0),($AH$189/$AH$190)*100,HLOOKUP(INDIRECT(ADDRESS(2,COLUMN())),OFFSET($BN$2,0,0,ROW()-1,60),ROW()-1,FALSE))</f>
        <v/>
      </c>
      <c r="AI5" t="str">
        <f ca="1">IF(AND($B$185=1,LEN($AI$189) * LEN($AI$190)&gt;0),($AI$189/$AI$190)*100,HLOOKUP(INDIRECT(ADDRESS(2,COLUMN())),OFFSET($BN$2,0,0,ROW()-1,60),ROW()-1,FALSE))</f>
        <v/>
      </c>
      <c r="AJ5" t="str">
        <f ca="1">IF(AND($B$185=1,LEN($AJ$189) * LEN($AJ$190)&gt;0),($AJ$189/$AJ$190)*100,HLOOKUP(INDIRECT(ADDRESS(2,COLUMN())),OFFSET($BN$2,0,0,ROW()-1,60),ROW()-1,FALSE))</f>
        <v/>
      </c>
      <c r="AK5" t="str">
        <f ca="1">IF(AND($B$185=1,LEN($AK$189) * LEN($AK$190)&gt;0),($AK$189/$AK$190)*100,HLOOKUP(INDIRECT(ADDRESS(2,COLUMN())),OFFSET($BN$2,0,0,ROW()-1,60),ROW()-1,FALSE))</f>
        <v/>
      </c>
      <c r="AL5" t="str">
        <f ca="1">IF(AND($B$185=1,LEN($AL$189) * LEN($AL$190)&gt;0),($AL$189/$AL$190)*100,HLOOKUP(INDIRECT(ADDRESS(2,COLUMN())),OFFSET($BN$2,0,0,ROW()-1,60),ROW()-1,FALSE))</f>
        <v/>
      </c>
      <c r="AM5" t="str">
        <f ca="1">IF(AND($B$185=1,LEN($AM$189) * LEN($AM$190)&gt;0),($AM$189/$AM$190)*100,HLOOKUP(INDIRECT(ADDRESS(2,COLUMN())),OFFSET($BN$2,0,0,ROW()-1,60),ROW()-1,FALSE))</f>
        <v/>
      </c>
      <c r="AN5" t="str">
        <f ca="1">IF(AND($B$185=1,LEN($AN$189) * LEN($AN$190)&gt;0),($AN$189/$AN$190)*100,HLOOKUP(INDIRECT(ADDRESS(2,COLUMN())),OFFSET($BN$2,0,0,ROW()-1,60),ROW()-1,FALSE))</f>
        <v/>
      </c>
      <c r="AO5" t="str">
        <f ca="1">IF(AND($B$185=1,LEN($AO$189) * LEN($AO$190)&gt;0),($AO$189/$AO$190)*100,HLOOKUP(INDIRECT(ADDRESS(2,COLUMN())),OFFSET($BN$2,0,0,ROW()-1,60),ROW()-1,FALSE))</f>
        <v/>
      </c>
      <c r="AP5" t="str">
        <f ca="1">IF(AND($B$185=1,LEN($AP$189) * LEN($AP$190)&gt;0),($AP$189/$AP$190)*100,HLOOKUP(INDIRECT(ADDRESS(2,COLUMN())),OFFSET($BN$2,0,0,ROW()-1,60),ROW()-1,FALSE))</f>
        <v/>
      </c>
      <c r="AQ5" t="str">
        <f ca="1">IF(AND($B$185=1,LEN($AQ$189) * LEN($AQ$190)&gt;0),($AQ$189/$AQ$190)*100,HLOOKUP(INDIRECT(ADDRESS(2,COLUMN())),OFFSET($BN$2,0,0,ROW()-1,60),ROW()-1,FALSE))</f>
        <v/>
      </c>
      <c r="AR5" t="str">
        <f ca="1">IF(AND($B$185=1,LEN($AR$189) * LEN($AR$190)&gt;0),($AR$189/$AR$190)*100,HLOOKUP(INDIRECT(ADDRESS(2,COLUMN())),OFFSET($BN$2,0,0,ROW()-1,60),ROW()-1,FALSE))</f>
        <v/>
      </c>
      <c r="AS5" t="str">
        <f ca="1">IF(AND($B$185=1,LEN($AS$189) * LEN($AS$190)&gt;0),($AS$189/$AS$190)*100,HLOOKUP(INDIRECT(ADDRESS(2,COLUMN())),OFFSET($BN$2,0,0,ROW()-1,60),ROW()-1,FALSE))</f>
        <v/>
      </c>
      <c r="AT5" t="str">
        <f ca="1">IF(AND($B$185=1,LEN($AT$189) * LEN($AT$190)&gt;0),($AT$189/$AT$190)*100,HLOOKUP(INDIRECT(ADDRESS(2,COLUMN())),OFFSET($BN$2,0,0,ROW()-1,60),ROW()-1,FALSE))</f>
        <v/>
      </c>
      <c r="AU5" t="str">
        <f ca="1">IF(AND($B$185=1,LEN($AU$189) * LEN($AU$190)&gt;0),($AU$189/$AU$190)*100,HLOOKUP(INDIRECT(ADDRESS(2,COLUMN())),OFFSET($BN$2,0,0,ROW()-1,60),ROW()-1,FALSE))</f>
        <v/>
      </c>
      <c r="AV5" t="str">
        <f ca="1">IF(AND($B$185=1,LEN($AV$189) * LEN($AV$190)&gt;0),($AV$189/$AV$190)*100,HLOOKUP(INDIRECT(ADDRESS(2,COLUMN())),OFFSET($BN$2,0,0,ROW()-1,60),ROW()-1,FALSE))</f>
        <v/>
      </c>
      <c r="AW5" t="str">
        <f ca="1">IF(AND($B$185=1,LEN($AW$189) * LEN($AW$190)&gt;0),($AW$189/$AW$190)*100,HLOOKUP(INDIRECT(ADDRESS(2,COLUMN())),OFFSET($BN$2,0,0,ROW()-1,60),ROW()-1,FALSE))</f>
        <v/>
      </c>
      <c r="AX5" t="str">
        <f ca="1">IF(AND($B$185=1,LEN($AX$189) * LEN($AX$190)&gt;0),($AX$189/$AX$190)*100,HLOOKUP(INDIRECT(ADDRESS(2,COLUMN())),OFFSET($BN$2,0,0,ROW()-1,60),ROW()-1,FALSE))</f>
        <v/>
      </c>
      <c r="AY5" t="str">
        <f ca="1">IF(AND($B$185=1,LEN($AY$189) * LEN($AY$190)&gt;0),($AY$189/$AY$190)*100,HLOOKUP(INDIRECT(ADDRESS(2,COLUMN())),OFFSET($BN$2,0,0,ROW()-1,60),ROW()-1,FALSE))</f>
        <v/>
      </c>
      <c r="AZ5" t="str">
        <f ca="1">IF(AND($B$185=1,LEN($AZ$189) * LEN($AZ$190)&gt;0),($AZ$189/$AZ$190)*100,HLOOKUP(INDIRECT(ADDRESS(2,COLUMN())),OFFSET($BN$2,0,0,ROW()-1,60),ROW()-1,FALSE))</f>
        <v/>
      </c>
      <c r="BA5" t="str">
        <f ca="1">IF(AND($B$185=1,LEN($BA$189) * LEN($BA$190)&gt;0),($BA$189/$BA$190)*100,HLOOKUP(INDIRECT(ADDRESS(2,COLUMN())),OFFSET($BN$2,0,0,ROW()-1,60),ROW()-1,FALSE))</f>
        <v/>
      </c>
      <c r="BB5" t="str">
        <f ca="1">IF(AND($B$185=1,LEN($BB$189) * LEN($BB$190)&gt;0),($BB$189/$BB$190)*100,HLOOKUP(INDIRECT(ADDRESS(2,COLUMN())),OFFSET($BN$2,0,0,ROW()-1,60),ROW()-1,FALSE))</f>
        <v/>
      </c>
      <c r="BC5" t="str">
        <f ca="1">IF(AND($B$185=1,LEN($BC$189) * LEN($BC$190)&gt;0),($BC$189/$BC$190)*100,HLOOKUP(INDIRECT(ADDRESS(2,COLUMN())),OFFSET($BN$2,0,0,ROW()-1,60),ROW()-1,FALSE))</f>
        <v/>
      </c>
      <c r="BD5" t="str">
        <f ca="1">IF(AND($B$185=1,LEN($BD$189) * LEN($BD$190)&gt;0),($BD$189/$BD$190)*100,HLOOKUP(INDIRECT(ADDRESS(2,COLUMN())),OFFSET($BN$2,0,0,ROW()-1,60),ROW()-1,FALSE))</f>
        <v/>
      </c>
      <c r="BE5" t="str">
        <f ca="1">IF(AND($B$185=1,LEN($BE$189) * LEN($BE$190)&gt;0),($BE$189/$BE$190)*100,HLOOKUP(INDIRECT(ADDRESS(2,COLUMN())),OFFSET($BN$2,0,0,ROW()-1,60),ROW()-1,FALSE))</f>
        <v/>
      </c>
      <c r="BF5" t="str">
        <f ca="1">IF(AND($B$185=1,LEN($BF$189) * LEN($BF$190)&gt;0),($BF$189/$BF$190)*100,HLOOKUP(INDIRECT(ADDRESS(2,COLUMN())),OFFSET($BN$2,0,0,ROW()-1,60),ROW()-1,FALSE))</f>
        <v/>
      </c>
      <c r="BG5" t="str">
        <f ca="1">IF(AND($B$185=1,LEN($BG$189) * LEN($BG$190)&gt;0),($BG$189/$BG$190)*100,HLOOKUP(INDIRECT(ADDRESS(2,COLUMN())),OFFSET($BN$2,0,0,ROW()-1,60),ROW()-1,FALSE))</f>
        <v/>
      </c>
      <c r="BH5" t="str">
        <f ca="1">IF(AND($B$185=1,LEN($BH$189) * LEN($BH$190)&gt;0),($BH$189/$BH$190)*100,HLOOKUP(INDIRECT(ADDRESS(2,COLUMN())),OFFSET($BN$2,0,0,ROW()-1,60),ROW()-1,FALSE))</f>
        <v/>
      </c>
      <c r="BI5" t="str">
        <f ca="1">IF(AND($B$185=1,LEN($BI$189) * LEN($BI$190)&gt;0),($BI$189/$BI$190)*100,HLOOKUP(INDIRECT(ADDRESS(2,COLUMN())),OFFSET($BN$2,0,0,ROW()-1,60),ROW()-1,FALSE))</f>
        <v/>
      </c>
      <c r="BJ5" t="str">
        <f ca="1">IF(AND($B$185=1,LEN($BJ$189) * LEN($BJ$190)&gt;0),($BJ$189/$BJ$190)*100,HLOOKUP(INDIRECT(ADDRESS(2,COLUMN())),OFFSET($BN$2,0,0,ROW()-1,60),ROW()-1,FALSE))</f>
        <v/>
      </c>
      <c r="BK5" t="str">
        <f ca="1">IF(AND($B$185=1,LEN($BK$189) * LEN($BK$190)&gt;0),($BK$189/$BK$190)*100,HLOOKUP(INDIRECT(ADDRESS(2,COLUMN())),OFFSET($BN$2,0,0,ROW()-1,60),ROW()-1,FALSE))</f>
        <v/>
      </c>
      <c r="BL5" t="str">
        <f ca="1">IF(AND($B$185=1,LEN($BL$189) * LEN($BL$190)&gt;0),($BL$189/$BL$190)*100,HLOOKUP(INDIRECT(ADDRESS(2,COLUMN())),OFFSET($BN$2,0,0,ROW()-1,60),ROW()-1,FALSE))</f>
        <v/>
      </c>
      <c r="BM5" t="str">
        <f ca="1">IF(AND($B$185=1,LEN($BM$189) * LEN($BM$190)&gt;0),($BM$189/$BM$190)*100,HLOOKUP(INDIRECT(ADDRESS(2,COLUMN())),OFFSET($BN$2,0,0,ROW()-1,60),ROW()-1,FALSE))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""</f>
        <v/>
      </c>
      <c r="CI5" t="str">
        <f>""</f>
        <v/>
      </c>
      <c r="CJ5" t="str">
        <f>""</f>
        <v/>
      </c>
      <c r="CK5" t="str">
        <f>""</f>
        <v/>
      </c>
      <c r="CL5" t="str">
        <f>""</f>
        <v/>
      </c>
      <c r="CM5" t="str">
        <f>""</f>
        <v/>
      </c>
      <c r="CN5" t="str">
        <f>""</f>
        <v/>
      </c>
      <c r="CO5" t="str">
        <f>""</f>
        <v/>
      </c>
      <c r="CP5" t="str">
        <f>""</f>
        <v/>
      </c>
      <c r="CQ5" t="str">
        <f>""</f>
        <v/>
      </c>
      <c r="CR5" t="str">
        <f>""</f>
        <v/>
      </c>
      <c r="CS5" t="str">
        <f>""</f>
        <v/>
      </c>
      <c r="CT5" t="str">
        <f>""</f>
        <v/>
      </c>
      <c r="CU5" t="str">
        <f>""</f>
        <v/>
      </c>
      <c r="CV5" t="str">
        <f>""</f>
        <v/>
      </c>
      <c r="CW5" t="str">
        <f>""</f>
        <v/>
      </c>
      <c r="CX5" t="str">
        <f>""</f>
        <v/>
      </c>
      <c r="CY5" t="str">
        <f>""</f>
        <v/>
      </c>
      <c r="CZ5" t="str">
        <f>""</f>
        <v/>
      </c>
      <c r="DA5" t="str">
        <f>""</f>
        <v/>
      </c>
      <c r="DB5" t="str">
        <f>""</f>
        <v/>
      </c>
      <c r="DC5" t="str">
        <f>""</f>
        <v/>
      </c>
      <c r="DD5" t="str">
        <f>""</f>
        <v/>
      </c>
      <c r="DE5" t="str">
        <f>""</f>
        <v/>
      </c>
      <c r="DF5" t="str">
        <f>""</f>
        <v/>
      </c>
      <c r="DG5" t="str">
        <f>""</f>
        <v/>
      </c>
      <c r="DH5" t="str">
        <f>""</f>
        <v/>
      </c>
      <c r="DI5" t="str">
        <f>""</f>
        <v/>
      </c>
      <c r="DJ5" t="str">
        <f>""</f>
        <v/>
      </c>
      <c r="DK5" t="str">
        <f>""</f>
        <v/>
      </c>
      <c r="DL5" t="str">
        <f>""</f>
        <v/>
      </c>
      <c r="DM5" t="str">
        <f>""</f>
        <v/>
      </c>
      <c r="DN5" t="str">
        <f>""</f>
        <v/>
      </c>
      <c r="DO5" t="str">
        <f>""</f>
        <v/>
      </c>
      <c r="DP5" t="str">
        <f>""</f>
        <v/>
      </c>
      <c r="DQ5" t="str">
        <f>""</f>
        <v/>
      </c>
      <c r="DR5" t="str">
        <f>""</f>
        <v/>
      </c>
      <c r="DS5" t="str">
        <f>""</f>
        <v/>
      </c>
      <c r="DT5" t="str">
        <f>""</f>
        <v/>
      </c>
      <c r="DU5" t="str">
        <f>""</f>
        <v/>
      </c>
    </row>
    <row r="6" spans="1:125">
      <c r="A6" t="str">
        <f>"    Citizens Financial Group Inc"</f>
        <v xml:space="preserve">    Citizens Financial Group Inc</v>
      </c>
      <c r="B6" t="str">
        <f>"CFG US Equity"</f>
        <v>CFG US Equity</v>
      </c>
      <c r="E6" t="str">
        <f t="shared" si="0"/>
        <v>Expression</v>
      </c>
      <c r="F6" t="e">
        <f ca="1">IF(AND($B$185=1,LEN($F$191) * LEN($F$192)&gt;0),($F$191/$F$192)*100,HLOOKUP(INDIRECT(ADDRESS(2,COLUMN())),OFFSET($BN$2,0,0,ROW()-1,60),ROW()-1,FALSE))</f>
        <v>#NAME?</v>
      </c>
      <c r="G6">
        <f ca="1">IF(AND($B$185=1,LEN($G$191) * LEN($G$192)&gt;0),($G$191/$G$192)*100,HLOOKUP(INDIRECT(ADDRESS(2,COLUMN())),OFFSET($BN$2,0,0,ROW()-1,60),ROW()-1,FALSE))</f>
        <v>2.4197790640000001</v>
      </c>
      <c r="H6">
        <f ca="1">IF(AND($B$185=1,LEN($H$191) * LEN($H$192)&gt;0),($H$191/$H$192)*100,HLOOKUP(INDIRECT(ADDRESS(2,COLUMN())),OFFSET($BN$2,0,0,ROW()-1,60),ROW()-1,FALSE))</f>
        <v>2.7508914930000001</v>
      </c>
      <c r="I6">
        <f ca="1">IF(AND($B$185=1,LEN($I$191) * LEN($I$192)&gt;0),($I$191/$I$192)*100,HLOOKUP(INDIRECT(ADDRESS(2,COLUMN())),OFFSET($BN$2,0,0,ROW()-1,60),ROW()-1,FALSE))</f>
        <v>2.5012761609999998</v>
      </c>
      <c r="J6">
        <f ca="1">IF(AND($B$185=1,LEN($J$191) * LEN($J$192)&gt;0),($J$191/$J$192)*100,HLOOKUP(INDIRECT(ADDRESS(2,COLUMN())),OFFSET($BN$2,0,0,ROW()-1,60),ROW()-1,FALSE))</f>
        <v>2.8672032189999999</v>
      </c>
      <c r="K6">
        <f ca="1">IF(AND($B$185=1,LEN($K$191) * LEN($K$192)&gt;0),($K$191/$K$192)*100,HLOOKUP(INDIRECT(ADDRESS(2,COLUMN())),OFFSET($BN$2,0,0,ROW()-1,60),ROW()-1,FALSE))</f>
        <v>3.4260178749999999</v>
      </c>
      <c r="L6">
        <f ca="1">IF(AND($B$185=1,LEN($L$191) * LEN($L$192)&gt;0),($L$191/$L$192)*100,HLOOKUP(INDIRECT(ADDRESS(2,COLUMN())),OFFSET($BN$2,0,0,ROW()-1,60),ROW()-1,FALSE))</f>
        <v>2.817574021</v>
      </c>
      <c r="M6">
        <f ca="1">IF(AND($B$185=1,LEN($M$191) * LEN($M$192)&gt;0),($M$191/$M$192)*100,HLOOKUP(INDIRECT(ADDRESS(2,COLUMN())),OFFSET($BN$2,0,0,ROW()-1,60),ROW()-1,FALSE))</f>
        <v>2.6785714289999998</v>
      </c>
      <c r="N6">
        <f ca="1">IF(AND($B$185=1,LEN($N$191) * LEN($N$192)&gt;0),($N$191/$N$192)*100,HLOOKUP(INDIRECT(ADDRESS(2,COLUMN())),OFFSET($BN$2,0,0,ROW()-1,60),ROW()-1,FALSE))</f>
        <v>2.4545454549999999</v>
      </c>
      <c r="O6">
        <f ca="1">IF(AND($B$185=1,LEN($O$191) * LEN($O$192)&gt;0),($O$191/$O$192)*100,HLOOKUP(INDIRECT(ADDRESS(2,COLUMN())),OFFSET($BN$2,0,0,ROW()-1,60),ROW()-1,FALSE))</f>
        <v>3.0316949929999999</v>
      </c>
      <c r="P6">
        <f ca="1">IF(AND($B$185=1,LEN($P$191) * LEN($P$192)&gt;0),($P$191/$P$192)*100,HLOOKUP(INDIRECT(ADDRESS(2,COLUMN())),OFFSET($BN$2,0,0,ROW()-1,60),ROW()-1,FALSE))</f>
        <v>3.6018009000000002</v>
      </c>
      <c r="Q6">
        <f ca="1">IF(AND($B$185=1,LEN($Q$191) * LEN($Q$192)&gt;0),($Q$191/$Q$192)*100,HLOOKUP(INDIRECT(ADDRESS(2,COLUMN())),OFFSET($BN$2,0,0,ROW()-1,60),ROW()-1,FALSE))</f>
        <v>4.1945288749999996</v>
      </c>
      <c r="R6">
        <f ca="1">IF(AND($B$185=1,LEN($R$191) * LEN($R$192)&gt;0),($R$191/$R$192)*100,HLOOKUP(INDIRECT(ADDRESS(2,COLUMN())),OFFSET($BN$2,0,0,ROW()-1,60),ROW()-1,FALSE))</f>
        <v>4.4186046509999999</v>
      </c>
      <c r="S6">
        <f ca="1">IF(AND($B$185=1,LEN($S$191) * LEN($S$192)&gt;0),($S$191/$S$192)*100,HLOOKUP(INDIRECT(ADDRESS(2,COLUMN())),OFFSET($BN$2,0,0,ROW()-1,60),ROW()-1,FALSE))</f>
        <v>6.50994575</v>
      </c>
      <c r="T6">
        <f ca="1">IF(AND($B$185=1,LEN($T$191) * LEN($T$192)&gt;0),($T$191/$T$192)*100,HLOOKUP(INDIRECT(ADDRESS(2,COLUMN())),OFFSET($BN$2,0,0,ROW()-1,60),ROW()-1,FALSE))</f>
        <v>5.2827843379999999</v>
      </c>
      <c r="U6">
        <f ca="1">IF(AND($B$185=1,LEN($U$191) * LEN($U$192)&gt;0),($U$191/$U$192)*100,HLOOKUP(INDIRECT(ADDRESS(2,COLUMN())),OFFSET($BN$2,0,0,ROW()-1,60),ROW()-1,FALSE))</f>
        <v>9.9457504520000004</v>
      </c>
      <c r="V6">
        <f ca="1">IF(AND($B$185=1,LEN($V$191) * LEN($V$192)&gt;0),($V$191/$V$192)*100,HLOOKUP(INDIRECT(ADDRESS(2,COLUMN())),OFFSET($BN$2,0,0,ROW()-1,60),ROW()-1,FALSE))</f>
        <v>11.30638547</v>
      </c>
      <c r="W6">
        <f ca="1">IF(AND($B$185=1,LEN($W$191) * LEN($W$192)&gt;0),($W$191/$W$192)*100,HLOOKUP(INDIRECT(ADDRESS(2,COLUMN())),OFFSET($BN$2,0,0,ROW()-1,60),ROW()-1,FALSE))</f>
        <v>16.024567279999999</v>
      </c>
      <c r="X6">
        <f ca="1">IF(AND($B$185=1,LEN($X$191) * LEN($X$192)&gt;0),($X$191/$X$192)*100,HLOOKUP(INDIRECT(ADDRESS(2,COLUMN())),OFFSET($BN$2,0,0,ROW()-1,60),ROW()-1,FALSE))</f>
        <v>15.771428569999999</v>
      </c>
      <c r="Y6">
        <f ca="1">IF(AND($B$185=1,LEN($Y$191) * LEN($Y$192)&gt;0),($Y$191/$Y$192)*100,HLOOKUP(INDIRECT(ADDRESS(2,COLUMN())),OFFSET($BN$2,0,0,ROW()-1,60),ROW()-1,FALSE))</f>
        <v>9.595654798</v>
      </c>
      <c r="Z6">
        <f ca="1">IF(AND($B$185=1,LEN($Z$191) * LEN($Z$192)&gt;0),($Z$191/$Z$192)*100,HLOOKUP(INDIRECT(ADDRESS(2,COLUMN())),OFFSET($BN$2,0,0,ROW()-1,60),ROW()-1,FALSE))</f>
        <v>4.8869883930000002</v>
      </c>
      <c r="AA6">
        <f ca="1">IF(AND($B$185=1,LEN($AA$191) * LEN($AA$192)&gt;0),($AA$191/$AA$192)*100,HLOOKUP(INDIRECT(ADDRESS(2,COLUMN())),OFFSET($BN$2,0,0,ROW()-1,60),ROW()-1,FALSE))</f>
        <v>7.1428571429999996</v>
      </c>
      <c r="AB6">
        <f ca="1">IF(AND($B$185=1,LEN($AB$191) * LEN($AB$192)&gt;0),($AB$191/$AB$192)*100,HLOOKUP(INDIRECT(ADDRESS(2,COLUMN())),OFFSET($BN$2,0,0,ROW()-1,60),ROW()-1,FALSE))</f>
        <v>3.8083538080000001</v>
      </c>
      <c r="AC6">
        <f ca="1">IF(AND($B$185=1,LEN($AC$191) * LEN($AC$192)&gt;0),($AC$191/$AC$192)*100,HLOOKUP(INDIRECT(ADDRESS(2,COLUMN())),OFFSET($BN$2,0,0,ROW()-1,60),ROW()-1,FALSE))</f>
        <v>2.707808564</v>
      </c>
      <c r="AD6">
        <f ca="1">IF(AND($B$185=1,LEN($AD$191) * LEN($AD$192)&gt;0),($AD$191/$AD$192)*100,HLOOKUP(INDIRECT(ADDRESS(2,COLUMN())),OFFSET($BN$2,0,0,ROW()-1,60),ROW()-1,FALSE))</f>
        <v>3.2015065909999998</v>
      </c>
      <c r="AE6">
        <f ca="1">IF(AND($B$185=1,LEN($AE$191) * LEN($AE$192)&gt;0),($AE$191/$AE$192)*100,HLOOKUP(INDIRECT(ADDRESS(2,COLUMN())),OFFSET($BN$2,0,0,ROW()-1,60),ROW()-1,FALSE))</f>
        <v>3.1329923270000002</v>
      </c>
      <c r="AF6">
        <f ca="1">IF(AND($B$185=1,LEN($AF$191) * LEN($AF$192)&gt;0),($AF$191/$AF$192)*100,HLOOKUP(INDIRECT(ADDRESS(2,COLUMN())),OFFSET($BN$2,0,0,ROW()-1,60),ROW()-1,FALSE))</f>
        <v>1.789264414</v>
      </c>
      <c r="AG6">
        <f ca="1">IF(AND($B$185=1,LEN($AG$191) * LEN($AG$192)&gt;0),($AG$191/$AG$192)*100,HLOOKUP(INDIRECT(ADDRESS(2,COLUMN())),OFFSET($BN$2,0,0,ROW()-1,60),ROW()-1,FALSE))</f>
        <v>1.7099863200000001</v>
      </c>
      <c r="AH6" t="str">
        <f ca="1">IF(AND($B$185=1,LEN($AH$191) * LEN($AH$192)&gt;0),($AH$191/$AH$192)*100,HLOOKUP(INDIRECT(ADDRESS(2,COLUMN())),OFFSET($BN$2,0,0,ROW()-1,60),ROW()-1,FALSE))</f>
        <v/>
      </c>
      <c r="AI6">
        <f ca="1">IF(AND($B$185=1,LEN($AI$191) * LEN($AI$192)&gt;0),($AI$191/$AI$192)*100,HLOOKUP(INDIRECT(ADDRESS(2,COLUMN())),OFFSET($BN$2,0,0,ROW()-1,60),ROW()-1,FALSE))</f>
        <v>1.871101871</v>
      </c>
      <c r="AJ6">
        <f ca="1">IF(AND($B$185=1,LEN($AJ$191) * LEN($AJ$192)&gt;0),($AJ$191/$AJ$192)*100,HLOOKUP(INDIRECT(ADDRESS(2,COLUMN())),OFFSET($BN$2,0,0,ROW()-1,60),ROW()-1,FALSE))</f>
        <v>2.1489971350000001</v>
      </c>
      <c r="AK6">
        <f ca="1">IF(AND($B$185=1,LEN($AK$191) * LEN($AK$192)&gt;0),($AK$191/$AK$192)*100,HLOOKUP(INDIRECT(ADDRESS(2,COLUMN())),OFFSET($BN$2,0,0,ROW()-1,60),ROW()-1,FALSE))</f>
        <v>1.6618497109999999</v>
      </c>
      <c r="AL6">
        <f ca="1">IF(AND($B$185=1,LEN($AL$191) * LEN($AL$192)&gt;0),($AL$191/$AL$192)*100,HLOOKUP(INDIRECT(ADDRESS(2,COLUMN())),OFFSET($BN$2,0,0,ROW()-1,60),ROW()-1,FALSE))</f>
        <v>2.6412325750000001</v>
      </c>
      <c r="AM6">
        <f ca="1">IF(AND($B$185=1,LEN($AM$191) * LEN($AM$192)&gt;0),($AM$191/$AM$192)*100,HLOOKUP(INDIRECT(ADDRESS(2,COLUMN())),OFFSET($BN$2,0,0,ROW()-1,60),ROW()-1,FALSE))</f>
        <v>2.3913043479999998</v>
      </c>
      <c r="AN6">
        <f ca="1">IF(AND($B$185=1,LEN($AN$191) * LEN($AN$192)&gt;0),($AN$191/$AN$192)*100,HLOOKUP(INDIRECT(ADDRESS(2,COLUMN())),OFFSET($BN$2,0,0,ROW()-1,60),ROW()-1,FALSE))</f>
        <v>1.9561815339999999</v>
      </c>
      <c r="AO6">
        <f ca="1">IF(AND($B$185=1,LEN($AO$191) * LEN($AO$192)&gt;0),($AO$191/$AO$192)*100,HLOOKUP(INDIRECT(ADDRESS(2,COLUMN())),OFFSET($BN$2,0,0,ROW()-1,60),ROW()-1,FALSE))</f>
        <v>1.458670989</v>
      </c>
      <c r="AP6">
        <f ca="1">IF(AND($B$185=1,LEN($AP$191) * LEN($AP$192)&gt;0),($AP$191/$AP$192)*100,HLOOKUP(INDIRECT(ADDRESS(2,COLUMN())),OFFSET($BN$2,0,0,ROW()-1,60),ROW()-1,FALSE))</f>
        <v>1.623376623</v>
      </c>
      <c r="AQ6">
        <f ca="1">IF(AND($B$185=1,LEN($AQ$191) * LEN($AQ$192)&gt;0),($AQ$191/$AQ$192)*100,HLOOKUP(INDIRECT(ADDRESS(2,COLUMN())),OFFSET($BN$2,0,0,ROW()-1,60),ROW()-1,FALSE))</f>
        <v>1.4888337469999999</v>
      </c>
      <c r="AR6">
        <f ca="1">IF(AND($B$185=1,LEN($AR$191) * LEN($AR$192)&gt;0),($AR$191/$AR$192)*100,HLOOKUP(INDIRECT(ADDRESS(2,COLUMN())),OFFSET($BN$2,0,0,ROW()-1,60),ROW()-1,FALSE))</f>
        <v>2.5</v>
      </c>
      <c r="AS6">
        <f ca="1">IF(AND($B$185=1,LEN($AS$191) * LEN($AS$192)&gt;0),($AS$191/$AS$192)*100,HLOOKUP(INDIRECT(ADDRESS(2,COLUMN())),OFFSET($BN$2,0,0,ROW()-1,60),ROW()-1,FALSE))</f>
        <v>2.7895181739999999</v>
      </c>
      <c r="AT6">
        <f ca="1">IF(AND($B$185=1,LEN($AT$191) * LEN($AT$192)&gt;0),($AT$191/$AT$192)*100,HLOOKUP(INDIRECT(ADDRESS(2,COLUMN())),OFFSET($BN$2,0,0,ROW()-1,60),ROW()-1,FALSE))</f>
        <v>1.3570822730000001</v>
      </c>
      <c r="AU6">
        <f ca="1">IF(AND($B$185=1,LEN($AU$191) * LEN($AU$192)&gt;0),($AU$191/$AU$192)*100,HLOOKUP(INDIRECT(ADDRESS(2,COLUMN())),OFFSET($BN$2,0,0,ROW()-1,60),ROW()-1,FALSE))</f>
        <v>1.80878553</v>
      </c>
      <c r="AV6">
        <f ca="1">IF(AND($B$185=1,LEN($AV$191) * LEN($AV$192)&gt;0),($AV$191/$AV$192)*100,HLOOKUP(INDIRECT(ADDRESS(2,COLUMN())),OFFSET($BN$2,0,0,ROW()-1,60),ROW()-1,FALSE))</f>
        <v>0.95044127599999995</v>
      </c>
      <c r="AW6">
        <f ca="1">IF(AND($B$185=1,LEN($AW$191) * LEN($AW$192)&gt;0),($AW$191/$AW$192)*100,HLOOKUP(INDIRECT(ADDRESS(2,COLUMN())),OFFSET($BN$2,0,0,ROW()-1,60),ROW()-1,FALSE))</f>
        <v>1.715265866</v>
      </c>
      <c r="AX6">
        <f ca="1">IF(AND($B$185=1,LEN($AX$191) * LEN($AX$192)&gt;0),($AX$191/$AX$192)*100,HLOOKUP(INDIRECT(ADDRESS(2,COLUMN())),OFFSET($BN$2,0,0,ROW()-1,60),ROW()-1,FALSE))</f>
        <v>1.727115717</v>
      </c>
      <c r="AY6">
        <f ca="1">IF(AND($B$185=1,LEN($AY$191) * LEN($AY$192)&gt;0),($AY$191/$AY$192)*100,HLOOKUP(INDIRECT(ADDRESS(2,COLUMN())),OFFSET($BN$2,0,0,ROW()-1,60),ROW()-1,FALSE))</f>
        <v>1.7346053770000001</v>
      </c>
      <c r="AZ6" t="str">
        <f ca="1">IF(AND($B$185=1,LEN($AZ$191) * LEN($AZ$192)&gt;0),($AZ$191/$AZ$192)*100,HLOOKUP(INDIRECT(ADDRESS(2,COLUMN())),OFFSET($BN$2,0,0,ROW()-1,60),ROW()-1,FALSE))</f>
        <v/>
      </c>
      <c r="BA6">
        <f ca="1">IF(AND($B$185=1,LEN($BA$191) * LEN($BA$192)&gt;0),($BA$191/$BA$192)*100,HLOOKUP(INDIRECT(ADDRESS(2,COLUMN())),OFFSET($BN$2,0,0,ROW()-1,60),ROW()-1,FALSE))</f>
        <v>3.8558256499999999</v>
      </c>
      <c r="BB6" t="str">
        <f ca="1">IF(AND($B$185=1,LEN($BB$191) * LEN($BB$192)&gt;0),($BB$191/$BB$192)*100,HLOOKUP(INDIRECT(ADDRESS(2,COLUMN())),OFFSET($BN$2,0,0,ROW()-1,60),ROW()-1,FALSE))</f>
        <v/>
      </c>
      <c r="BC6" t="str">
        <f ca="1">IF(AND($B$185=1,LEN($BC$191) * LEN($BC$192)&gt;0),($BC$191/$BC$192)*100,HLOOKUP(INDIRECT(ADDRESS(2,COLUMN())),OFFSET($BN$2,0,0,ROW()-1,60),ROW()-1,FALSE))</f>
        <v/>
      </c>
      <c r="BD6" t="str">
        <f ca="1">IF(AND($B$185=1,LEN($BD$191) * LEN($BD$192)&gt;0),($BD$191/$BD$192)*100,HLOOKUP(INDIRECT(ADDRESS(2,COLUMN())),OFFSET($BN$2,0,0,ROW()-1,60),ROW()-1,FALSE))</f>
        <v/>
      </c>
      <c r="BE6" t="str">
        <f ca="1">IF(AND($B$185=1,LEN($BE$191) * LEN($BE$192)&gt;0),($BE$191/$BE$192)*100,HLOOKUP(INDIRECT(ADDRESS(2,COLUMN())),OFFSET($BN$2,0,0,ROW()-1,60),ROW()-1,FALSE))</f>
        <v/>
      </c>
      <c r="BF6" t="str">
        <f ca="1">IF(AND($B$185=1,LEN($BF$191) * LEN($BF$192)&gt;0),($BF$191/$BF$192)*100,HLOOKUP(INDIRECT(ADDRESS(2,COLUMN())),OFFSET($BN$2,0,0,ROW()-1,60),ROW()-1,FALSE))</f>
        <v/>
      </c>
      <c r="BG6" t="str">
        <f ca="1">IF(AND($B$185=1,LEN($BG$191) * LEN($BG$192)&gt;0),($BG$191/$BG$192)*100,HLOOKUP(INDIRECT(ADDRESS(2,COLUMN())),OFFSET($BN$2,0,0,ROW()-1,60),ROW()-1,FALSE))</f>
        <v/>
      </c>
      <c r="BH6" t="str">
        <f ca="1">IF(AND($B$185=1,LEN($BH$191) * LEN($BH$192)&gt;0),($BH$191/$BH$192)*100,HLOOKUP(INDIRECT(ADDRESS(2,COLUMN())),OFFSET($BN$2,0,0,ROW()-1,60),ROW()-1,FALSE))</f>
        <v/>
      </c>
      <c r="BI6" t="str">
        <f ca="1">IF(AND($B$185=1,LEN($BI$191) * LEN($BI$192)&gt;0),($BI$191/$BI$192)*100,HLOOKUP(INDIRECT(ADDRESS(2,COLUMN())),OFFSET($BN$2,0,0,ROW()-1,60),ROW()-1,FALSE))</f>
        <v/>
      </c>
      <c r="BJ6" t="str">
        <f ca="1">IF(AND($B$185=1,LEN($BJ$191) * LEN($BJ$192)&gt;0),($BJ$191/$BJ$192)*100,HLOOKUP(INDIRECT(ADDRESS(2,COLUMN())),OFFSET($BN$2,0,0,ROW()-1,60),ROW()-1,FALSE))</f>
        <v/>
      </c>
      <c r="BK6" t="str">
        <f ca="1">IF(AND($B$185=1,LEN($BK$191) * LEN($BK$192)&gt;0),($BK$191/$BK$192)*100,HLOOKUP(INDIRECT(ADDRESS(2,COLUMN())),OFFSET($BN$2,0,0,ROW()-1,60),ROW()-1,FALSE))</f>
        <v/>
      </c>
      <c r="BL6" t="str">
        <f ca="1">IF(AND($B$185=1,LEN($BL$191) * LEN($BL$192)&gt;0),($BL$191/$BL$192)*100,HLOOKUP(INDIRECT(ADDRESS(2,COLUMN())),OFFSET($BN$2,0,0,ROW()-1,60),ROW()-1,FALSE))</f>
        <v/>
      </c>
      <c r="BM6" t="str">
        <f ca="1">IF(AND($B$185=1,LEN($BM$191) * LEN($BM$192)&gt;0),($BM$191/$BM$192)*100,HLOOKUP(INDIRECT(ADDRESS(2,COLUMN())),OFFSET($BN$2,0,0,ROW()-1,60),ROW()-1,FALSE))</f>
        <v/>
      </c>
      <c r="BN6">
        <f>3.021148036</f>
        <v>3.021148036</v>
      </c>
      <c r="BO6">
        <f>2.419779064</f>
        <v>2.4197790640000001</v>
      </c>
      <c r="BP6">
        <f>2.750891493</f>
        <v>2.7508914930000001</v>
      </c>
      <c r="BQ6">
        <f>2.501276161</f>
        <v>2.5012761609999998</v>
      </c>
      <c r="BR6">
        <f>2.867203219</f>
        <v>2.8672032189999999</v>
      </c>
      <c r="BS6">
        <f>3.426017875</f>
        <v>3.4260178749999999</v>
      </c>
      <c r="BT6">
        <f>2.817574021</f>
        <v>2.817574021</v>
      </c>
      <c r="BU6">
        <f>2.678571429</f>
        <v>2.6785714289999998</v>
      </c>
      <c r="BV6">
        <f>2.454545455</f>
        <v>2.4545454549999999</v>
      </c>
      <c r="BW6">
        <f>3.031694993</f>
        <v>3.0316949929999999</v>
      </c>
      <c r="BX6">
        <f>3.6018009</f>
        <v>3.6018009000000002</v>
      </c>
      <c r="BY6">
        <f>4.194528875</f>
        <v>4.1945288749999996</v>
      </c>
      <c r="BZ6">
        <f>4.418604651</f>
        <v>4.4186046509999999</v>
      </c>
      <c r="CA6">
        <f>6.50994575</f>
        <v>6.50994575</v>
      </c>
      <c r="CB6">
        <f>5.282784338</f>
        <v>5.2827843379999999</v>
      </c>
      <c r="CC6">
        <f>9.945750452</f>
        <v>9.9457504520000004</v>
      </c>
      <c r="CD6">
        <f>11.30638547</f>
        <v>11.30638547</v>
      </c>
      <c r="CE6">
        <f>16.02456728</f>
        <v>16.024567279999999</v>
      </c>
      <c r="CF6">
        <f>15.77142857</f>
        <v>15.771428569999999</v>
      </c>
      <c r="CG6">
        <f>9.595654798</f>
        <v>9.595654798</v>
      </c>
      <c r="CH6">
        <f>4.886988393</f>
        <v>4.8869883930000002</v>
      </c>
      <c r="CI6">
        <f>7.142857143</f>
        <v>7.1428571429999996</v>
      </c>
      <c r="CJ6">
        <f>3.808353808</f>
        <v>3.8083538080000001</v>
      </c>
      <c r="CK6">
        <f>2.707808564</f>
        <v>2.707808564</v>
      </c>
      <c r="CL6">
        <f>3.201506591</f>
        <v>3.2015065909999998</v>
      </c>
      <c r="CM6">
        <f>3.132992327</f>
        <v>3.1329923270000002</v>
      </c>
      <c r="CN6">
        <f>1.789264414</f>
        <v>1.789264414</v>
      </c>
      <c r="CO6">
        <f>1.70998632</f>
        <v>1.7099863200000001</v>
      </c>
      <c r="CP6" t="str">
        <f>""</f>
        <v/>
      </c>
      <c r="CQ6">
        <f>1.871101871</f>
        <v>1.871101871</v>
      </c>
      <c r="CR6">
        <f>2.148997135</f>
        <v>2.1489971350000001</v>
      </c>
      <c r="CS6">
        <f>1.661849711</f>
        <v>1.6618497109999999</v>
      </c>
      <c r="CT6">
        <f>2.641232575</f>
        <v>2.6412325750000001</v>
      </c>
      <c r="CU6">
        <f>2.391304348</f>
        <v>2.3913043479999998</v>
      </c>
      <c r="CV6">
        <f>1.956181534</f>
        <v>1.9561815339999999</v>
      </c>
      <c r="CW6">
        <f>1.458670989</f>
        <v>1.458670989</v>
      </c>
      <c r="CX6">
        <f>1.623376623</f>
        <v>1.623376623</v>
      </c>
      <c r="CY6">
        <f>1.488833747</f>
        <v>1.4888337469999999</v>
      </c>
      <c r="CZ6">
        <f>2.5</f>
        <v>2.5</v>
      </c>
      <c r="DA6">
        <f>2.789518174</f>
        <v>2.7895181739999999</v>
      </c>
      <c r="DB6">
        <f>1.357082273</f>
        <v>1.3570822730000001</v>
      </c>
      <c r="DC6">
        <f>1.80878553</f>
        <v>1.80878553</v>
      </c>
      <c r="DD6">
        <f>0.950441276</f>
        <v>0.95044127599999995</v>
      </c>
      <c r="DE6">
        <f>1.715265866</f>
        <v>1.715265866</v>
      </c>
      <c r="DF6">
        <f>1.727115717</f>
        <v>1.727115717</v>
      </c>
      <c r="DG6">
        <f>1.734605377</f>
        <v>1.7346053770000001</v>
      </c>
      <c r="DH6" t="str">
        <f>""</f>
        <v/>
      </c>
      <c r="DI6">
        <f>3.85582565</f>
        <v>3.8558256499999999</v>
      </c>
      <c r="DJ6" t="str">
        <f>""</f>
        <v/>
      </c>
      <c r="DK6" t="str">
        <f>""</f>
        <v/>
      </c>
      <c r="DL6" t="str">
        <f>""</f>
        <v/>
      </c>
      <c r="DM6" t="str">
        <f>""</f>
        <v/>
      </c>
      <c r="DN6" t="str">
        <f>""</f>
        <v/>
      </c>
      <c r="DO6" t="str">
        <f>""</f>
        <v/>
      </c>
      <c r="DP6" t="str">
        <f>""</f>
        <v/>
      </c>
      <c r="DQ6" t="str">
        <f>""</f>
        <v/>
      </c>
      <c r="DR6" t="str">
        <f>""</f>
        <v/>
      </c>
      <c r="DS6" t="str">
        <f>""</f>
        <v/>
      </c>
      <c r="DT6" t="str">
        <f>""</f>
        <v/>
      </c>
      <c r="DU6" t="str">
        <f>""</f>
        <v/>
      </c>
    </row>
    <row r="7" spans="1:125">
      <c r="A7" t="str">
        <f>"    Capital One Financial Corp"</f>
        <v xml:space="preserve">    Capital One Financial Corp</v>
      </c>
      <c r="B7" t="str">
        <f>"COF US Equity"</f>
        <v>COF US Equity</v>
      </c>
      <c r="E7" t="str">
        <f t="shared" si="0"/>
        <v>Expression</v>
      </c>
      <c r="F7" t="e">
        <f ca="1">IF(AND($B$185=1,LEN($F$193) * LEN($F$194)&gt;0),($F$193/$F$194)*100,HLOOKUP(INDIRECT(ADDRESS(2,COLUMN())),OFFSET($BN$2,0,0,ROW()-1,60),ROW()-1,FALSE))</f>
        <v>#NAME?</v>
      </c>
      <c r="G7" t="str">
        <f ca="1">IF(AND($B$185=1,LEN($G$193) * LEN($G$194)&gt;0),($G$193/$G$194)*100,HLOOKUP(INDIRECT(ADDRESS(2,COLUMN())),OFFSET($BN$2,0,0,ROW()-1,60),ROW()-1,FALSE))</f>
        <v/>
      </c>
      <c r="H7" t="str">
        <f ca="1">IF(AND($B$185=1,LEN($H$193) * LEN($H$194)&gt;0),($H$193/$H$194)*100,HLOOKUP(INDIRECT(ADDRESS(2,COLUMN())),OFFSET($BN$2,0,0,ROW()-1,60),ROW()-1,FALSE))</f>
        <v/>
      </c>
      <c r="I7" t="str">
        <f ca="1">IF(AND($B$185=1,LEN($I$193) * LEN($I$194)&gt;0),($I$193/$I$194)*100,HLOOKUP(INDIRECT(ADDRESS(2,COLUMN())),OFFSET($BN$2,0,0,ROW()-1,60),ROW()-1,FALSE))</f>
        <v/>
      </c>
      <c r="J7" t="str">
        <f ca="1">IF(AND($B$185=1,LEN($J$193) * LEN($J$194)&gt;0),($J$193/$J$194)*100,HLOOKUP(INDIRECT(ADDRESS(2,COLUMN())),OFFSET($BN$2,0,0,ROW()-1,60),ROW()-1,FALSE))</f>
        <v/>
      </c>
      <c r="K7" t="str">
        <f ca="1">IF(AND($B$185=1,LEN($K$193) * LEN($K$194)&gt;0),($K$193/$K$194)*100,HLOOKUP(INDIRECT(ADDRESS(2,COLUMN())),OFFSET($BN$2,0,0,ROW()-1,60),ROW()-1,FALSE))</f>
        <v/>
      </c>
      <c r="L7" t="str">
        <f ca="1">IF(AND($B$185=1,LEN($L$193) * LEN($L$194)&gt;0),($L$193/$L$194)*100,HLOOKUP(INDIRECT(ADDRESS(2,COLUMN())),OFFSET($BN$2,0,0,ROW()-1,60),ROW()-1,FALSE))</f>
        <v/>
      </c>
      <c r="M7" t="str">
        <f ca="1">IF(AND($B$185=1,LEN($M$193) * LEN($M$194)&gt;0),($M$193/$M$194)*100,HLOOKUP(INDIRECT(ADDRESS(2,COLUMN())),OFFSET($BN$2,0,0,ROW()-1,60),ROW()-1,FALSE))</f>
        <v/>
      </c>
      <c r="N7" t="str">
        <f ca="1">IF(AND($B$185=1,LEN($N$193) * LEN($N$194)&gt;0),($N$193/$N$194)*100,HLOOKUP(INDIRECT(ADDRESS(2,COLUMN())),OFFSET($BN$2,0,0,ROW()-1,60),ROW()-1,FALSE))</f>
        <v/>
      </c>
      <c r="O7" t="str">
        <f ca="1">IF(AND($B$185=1,LEN($O$193) * LEN($O$194)&gt;0),($O$193/$O$194)*100,HLOOKUP(INDIRECT(ADDRESS(2,COLUMN())),OFFSET($BN$2,0,0,ROW()-1,60),ROW()-1,FALSE))</f>
        <v/>
      </c>
      <c r="P7" t="str">
        <f ca="1">IF(AND($B$185=1,LEN($P$193) * LEN($P$194)&gt;0),($P$193/$P$194)*100,HLOOKUP(INDIRECT(ADDRESS(2,COLUMN())),OFFSET($BN$2,0,0,ROW()-1,60),ROW()-1,FALSE))</f>
        <v/>
      </c>
      <c r="Q7" t="str">
        <f ca="1">IF(AND($B$185=1,LEN($Q$193) * LEN($Q$194)&gt;0),($Q$193/$Q$194)*100,HLOOKUP(INDIRECT(ADDRESS(2,COLUMN())),OFFSET($BN$2,0,0,ROW()-1,60),ROW()-1,FALSE))</f>
        <v/>
      </c>
      <c r="R7" t="str">
        <f ca="1">IF(AND($B$185=1,LEN($R$193) * LEN($R$194)&gt;0),($R$193/$R$194)*100,HLOOKUP(INDIRECT(ADDRESS(2,COLUMN())),OFFSET($BN$2,0,0,ROW()-1,60),ROW()-1,FALSE))</f>
        <v/>
      </c>
      <c r="S7" t="str">
        <f ca="1">IF(AND($B$185=1,LEN($S$193) * LEN($S$194)&gt;0),($S$193/$S$194)*100,HLOOKUP(INDIRECT(ADDRESS(2,COLUMN())),OFFSET($BN$2,0,0,ROW()-1,60),ROW()-1,FALSE))</f>
        <v/>
      </c>
      <c r="T7" t="str">
        <f ca="1">IF(AND($B$185=1,LEN($T$193) * LEN($T$194)&gt;0),($T$193/$T$194)*100,HLOOKUP(INDIRECT(ADDRESS(2,COLUMN())),OFFSET($BN$2,0,0,ROW()-1,60),ROW()-1,FALSE))</f>
        <v/>
      </c>
      <c r="U7" t="str">
        <f ca="1">IF(AND($B$185=1,LEN($U$193) * LEN($U$194)&gt;0),($U$193/$U$194)*100,HLOOKUP(INDIRECT(ADDRESS(2,COLUMN())),OFFSET($BN$2,0,0,ROW()-1,60),ROW()-1,FALSE))</f>
        <v/>
      </c>
      <c r="V7" t="str">
        <f ca="1">IF(AND($B$185=1,LEN($V$193) * LEN($V$194)&gt;0),($V$193/$V$194)*100,HLOOKUP(INDIRECT(ADDRESS(2,COLUMN())),OFFSET($BN$2,0,0,ROW()-1,60),ROW()-1,FALSE))</f>
        <v/>
      </c>
      <c r="W7" t="str">
        <f ca="1">IF(AND($B$185=1,LEN($W$193) * LEN($W$194)&gt;0),($W$193/$W$194)*100,HLOOKUP(INDIRECT(ADDRESS(2,COLUMN())),OFFSET($BN$2,0,0,ROW()-1,60),ROW()-1,FALSE))</f>
        <v/>
      </c>
      <c r="X7" t="str">
        <f ca="1">IF(AND($B$185=1,LEN($X$193) * LEN($X$194)&gt;0),($X$193/$X$194)*100,HLOOKUP(INDIRECT(ADDRESS(2,COLUMN())),OFFSET($BN$2,0,0,ROW()-1,60),ROW()-1,FALSE))</f>
        <v/>
      </c>
      <c r="Y7" t="str">
        <f ca="1">IF(AND($B$185=1,LEN($Y$193) * LEN($Y$194)&gt;0),($Y$193/$Y$194)*100,HLOOKUP(INDIRECT(ADDRESS(2,COLUMN())),OFFSET($BN$2,0,0,ROW()-1,60),ROW()-1,FALSE))</f>
        <v/>
      </c>
      <c r="Z7" t="str">
        <f ca="1">IF(AND($B$185=1,LEN($Z$193) * LEN($Z$194)&gt;0),($Z$193/$Z$194)*100,HLOOKUP(INDIRECT(ADDRESS(2,COLUMN())),OFFSET($BN$2,0,0,ROW()-1,60),ROW()-1,FALSE))</f>
        <v/>
      </c>
      <c r="AA7" t="str">
        <f ca="1">IF(AND($B$185=1,LEN($AA$193) * LEN($AA$194)&gt;0),($AA$193/$AA$194)*100,HLOOKUP(INDIRECT(ADDRESS(2,COLUMN())),OFFSET($BN$2,0,0,ROW()-1,60),ROW()-1,FALSE))</f>
        <v/>
      </c>
      <c r="AB7" t="str">
        <f ca="1">IF(AND($B$185=1,LEN($AB$193) * LEN($AB$194)&gt;0),($AB$193/$AB$194)*100,HLOOKUP(INDIRECT(ADDRESS(2,COLUMN())),OFFSET($BN$2,0,0,ROW()-1,60),ROW()-1,FALSE))</f>
        <v/>
      </c>
      <c r="AC7" t="str">
        <f ca="1">IF(AND($B$185=1,LEN($AC$193) * LEN($AC$194)&gt;0),($AC$193/$AC$194)*100,HLOOKUP(INDIRECT(ADDRESS(2,COLUMN())),OFFSET($BN$2,0,0,ROW()-1,60),ROW()-1,FALSE))</f>
        <v/>
      </c>
      <c r="AD7" t="str">
        <f ca="1">IF(AND($B$185=1,LEN($AD$193) * LEN($AD$194)&gt;0),($AD$193/$AD$194)*100,HLOOKUP(INDIRECT(ADDRESS(2,COLUMN())),OFFSET($BN$2,0,0,ROW()-1,60),ROW()-1,FALSE))</f>
        <v/>
      </c>
      <c r="AE7" t="str">
        <f ca="1">IF(AND($B$185=1,LEN($AE$193) * LEN($AE$194)&gt;0),($AE$193/$AE$194)*100,HLOOKUP(INDIRECT(ADDRESS(2,COLUMN())),OFFSET($BN$2,0,0,ROW()-1,60),ROW()-1,FALSE))</f>
        <v/>
      </c>
      <c r="AF7" t="str">
        <f ca="1">IF(AND($B$185=1,LEN($AF$193) * LEN($AF$194)&gt;0),($AF$193/$AF$194)*100,HLOOKUP(INDIRECT(ADDRESS(2,COLUMN())),OFFSET($BN$2,0,0,ROW()-1,60),ROW()-1,FALSE))</f>
        <v/>
      </c>
      <c r="AG7" t="str">
        <f ca="1">IF(AND($B$185=1,LEN($AG$193) * LEN($AG$194)&gt;0),($AG$193/$AG$194)*100,HLOOKUP(INDIRECT(ADDRESS(2,COLUMN())),OFFSET($BN$2,0,0,ROW()-1,60),ROW()-1,FALSE))</f>
        <v/>
      </c>
      <c r="AH7" t="str">
        <f ca="1">IF(AND($B$185=1,LEN($AH$193) * LEN($AH$194)&gt;0),($AH$193/$AH$194)*100,HLOOKUP(INDIRECT(ADDRESS(2,COLUMN())),OFFSET($BN$2,0,0,ROW()-1,60),ROW()-1,FALSE))</f>
        <v/>
      </c>
      <c r="AI7" t="str">
        <f ca="1">IF(AND($B$185=1,LEN($AI$193) * LEN($AI$194)&gt;0),($AI$193/$AI$194)*100,HLOOKUP(INDIRECT(ADDRESS(2,COLUMN())),OFFSET($BN$2,0,0,ROW()-1,60),ROW()-1,FALSE))</f>
        <v/>
      </c>
      <c r="AJ7" t="str">
        <f ca="1">IF(AND($B$185=1,LEN($AJ$193) * LEN($AJ$194)&gt;0),($AJ$193/$AJ$194)*100,HLOOKUP(INDIRECT(ADDRESS(2,COLUMN())),OFFSET($BN$2,0,0,ROW()-1,60),ROW()-1,FALSE))</f>
        <v/>
      </c>
      <c r="AK7" t="str">
        <f ca="1">IF(AND($B$185=1,LEN($AK$193) * LEN($AK$194)&gt;0),($AK$193/$AK$194)*100,HLOOKUP(INDIRECT(ADDRESS(2,COLUMN())),OFFSET($BN$2,0,0,ROW()-1,60),ROW()-1,FALSE))</f>
        <v/>
      </c>
      <c r="AL7" t="str">
        <f ca="1">IF(AND($B$185=1,LEN($AL$193) * LEN($AL$194)&gt;0),($AL$193/$AL$194)*100,HLOOKUP(INDIRECT(ADDRESS(2,COLUMN())),OFFSET($BN$2,0,0,ROW()-1,60),ROW()-1,FALSE))</f>
        <v/>
      </c>
      <c r="AM7" t="str">
        <f ca="1">IF(AND($B$185=1,LEN($AM$193) * LEN($AM$194)&gt;0),($AM$193/$AM$194)*100,HLOOKUP(INDIRECT(ADDRESS(2,COLUMN())),OFFSET($BN$2,0,0,ROW()-1,60),ROW()-1,FALSE))</f>
        <v/>
      </c>
      <c r="AN7" t="str">
        <f ca="1">IF(AND($B$185=1,LEN($AN$193) * LEN($AN$194)&gt;0),($AN$193/$AN$194)*100,HLOOKUP(INDIRECT(ADDRESS(2,COLUMN())),OFFSET($BN$2,0,0,ROW()-1,60),ROW()-1,FALSE))</f>
        <v/>
      </c>
      <c r="AO7" t="str">
        <f ca="1">IF(AND($B$185=1,LEN($AO$193) * LEN($AO$194)&gt;0),($AO$193/$AO$194)*100,HLOOKUP(INDIRECT(ADDRESS(2,COLUMN())),OFFSET($BN$2,0,0,ROW()-1,60),ROW()-1,FALSE))</f>
        <v/>
      </c>
      <c r="AP7" t="str">
        <f ca="1">IF(AND($B$185=1,LEN($AP$193) * LEN($AP$194)&gt;0),($AP$193/$AP$194)*100,HLOOKUP(INDIRECT(ADDRESS(2,COLUMN())),OFFSET($BN$2,0,0,ROW()-1,60),ROW()-1,FALSE))</f>
        <v/>
      </c>
      <c r="AQ7" t="str">
        <f ca="1">IF(AND($B$185=1,LEN($AQ$193) * LEN($AQ$194)&gt;0),($AQ$193/$AQ$194)*100,HLOOKUP(INDIRECT(ADDRESS(2,COLUMN())),OFFSET($BN$2,0,0,ROW()-1,60),ROW()-1,FALSE))</f>
        <v/>
      </c>
      <c r="AR7" t="str">
        <f ca="1">IF(AND($B$185=1,LEN($AR$193) * LEN($AR$194)&gt;0),($AR$193/$AR$194)*100,HLOOKUP(INDIRECT(ADDRESS(2,COLUMN())),OFFSET($BN$2,0,0,ROW()-1,60),ROW()-1,FALSE))</f>
        <v/>
      </c>
      <c r="AS7" t="str">
        <f ca="1">IF(AND($B$185=1,LEN($AS$193) * LEN($AS$194)&gt;0),($AS$193/$AS$194)*100,HLOOKUP(INDIRECT(ADDRESS(2,COLUMN())),OFFSET($BN$2,0,0,ROW()-1,60),ROW()-1,FALSE))</f>
        <v/>
      </c>
      <c r="AT7" t="str">
        <f ca="1">IF(AND($B$185=1,LEN($AT$193) * LEN($AT$194)&gt;0),($AT$193/$AT$194)*100,HLOOKUP(INDIRECT(ADDRESS(2,COLUMN())),OFFSET($BN$2,0,0,ROW()-1,60),ROW()-1,FALSE))</f>
        <v/>
      </c>
      <c r="AU7" t="str">
        <f ca="1">IF(AND($B$185=1,LEN($AU$193) * LEN($AU$194)&gt;0),($AU$193/$AU$194)*100,HLOOKUP(INDIRECT(ADDRESS(2,COLUMN())),OFFSET($BN$2,0,0,ROW()-1,60),ROW()-1,FALSE))</f>
        <v/>
      </c>
      <c r="AV7" t="str">
        <f ca="1">IF(AND($B$185=1,LEN($AV$193) * LEN($AV$194)&gt;0),($AV$193/$AV$194)*100,HLOOKUP(INDIRECT(ADDRESS(2,COLUMN())),OFFSET($BN$2,0,0,ROW()-1,60),ROW()-1,FALSE))</f>
        <v/>
      </c>
      <c r="AW7" t="str">
        <f ca="1">IF(AND($B$185=1,LEN($AW$193) * LEN($AW$194)&gt;0),($AW$193/$AW$194)*100,HLOOKUP(INDIRECT(ADDRESS(2,COLUMN())),OFFSET($BN$2,0,0,ROW()-1,60),ROW()-1,FALSE))</f>
        <v/>
      </c>
      <c r="AX7" t="str">
        <f ca="1">IF(AND($B$185=1,LEN($AX$193) * LEN($AX$194)&gt;0),($AX$193/$AX$194)*100,HLOOKUP(INDIRECT(ADDRESS(2,COLUMN())),OFFSET($BN$2,0,0,ROW()-1,60),ROW()-1,FALSE))</f>
        <v/>
      </c>
      <c r="AY7" t="str">
        <f ca="1">IF(AND($B$185=1,LEN($AY$193) * LEN($AY$194)&gt;0),($AY$193/$AY$194)*100,HLOOKUP(INDIRECT(ADDRESS(2,COLUMN())),OFFSET($BN$2,0,0,ROW()-1,60),ROW()-1,FALSE))</f>
        <v/>
      </c>
      <c r="AZ7" t="str">
        <f ca="1">IF(AND($B$185=1,LEN($AZ$193) * LEN($AZ$194)&gt;0),($AZ$193/$AZ$194)*100,HLOOKUP(INDIRECT(ADDRESS(2,COLUMN())),OFFSET($BN$2,0,0,ROW()-1,60),ROW()-1,FALSE))</f>
        <v/>
      </c>
      <c r="BA7" t="str">
        <f ca="1">IF(AND($B$185=1,LEN($BA$193) * LEN($BA$194)&gt;0),($BA$193/$BA$194)*100,HLOOKUP(INDIRECT(ADDRESS(2,COLUMN())),OFFSET($BN$2,0,0,ROW()-1,60),ROW()-1,FALSE))</f>
        <v/>
      </c>
      <c r="BB7" t="str">
        <f ca="1">IF(AND($B$185=1,LEN($BB$193) * LEN($BB$194)&gt;0),($BB$193/$BB$194)*100,HLOOKUP(INDIRECT(ADDRESS(2,COLUMN())),OFFSET($BN$2,0,0,ROW()-1,60),ROW()-1,FALSE))</f>
        <v/>
      </c>
      <c r="BC7" t="str">
        <f ca="1">IF(AND($B$185=1,LEN($BC$193) * LEN($BC$194)&gt;0),($BC$193/$BC$194)*100,HLOOKUP(INDIRECT(ADDRESS(2,COLUMN())),OFFSET($BN$2,0,0,ROW()-1,60),ROW()-1,FALSE))</f>
        <v/>
      </c>
      <c r="BD7" t="str">
        <f ca="1">IF(AND($B$185=1,LEN($BD$193) * LEN($BD$194)&gt;0),($BD$193/$BD$194)*100,HLOOKUP(INDIRECT(ADDRESS(2,COLUMN())),OFFSET($BN$2,0,0,ROW()-1,60),ROW()-1,FALSE))</f>
        <v/>
      </c>
      <c r="BE7" t="str">
        <f ca="1">IF(AND($B$185=1,LEN($BE$193) * LEN($BE$194)&gt;0),($BE$193/$BE$194)*100,HLOOKUP(INDIRECT(ADDRESS(2,COLUMN())),OFFSET($BN$2,0,0,ROW()-1,60),ROW()-1,FALSE))</f>
        <v/>
      </c>
      <c r="BF7" t="str">
        <f ca="1">IF(AND($B$185=1,LEN($BF$193) * LEN($BF$194)&gt;0),($BF$193/$BF$194)*100,HLOOKUP(INDIRECT(ADDRESS(2,COLUMN())),OFFSET($BN$2,0,0,ROW()-1,60),ROW()-1,FALSE))</f>
        <v/>
      </c>
      <c r="BG7" t="str">
        <f ca="1">IF(AND($B$185=1,LEN($BG$193) * LEN($BG$194)&gt;0),($BG$193/$BG$194)*100,HLOOKUP(INDIRECT(ADDRESS(2,COLUMN())),OFFSET($BN$2,0,0,ROW()-1,60),ROW()-1,FALSE))</f>
        <v/>
      </c>
      <c r="BH7" t="str">
        <f ca="1">IF(AND($B$185=1,LEN($BH$193) * LEN($BH$194)&gt;0),($BH$193/$BH$194)*100,HLOOKUP(INDIRECT(ADDRESS(2,COLUMN())),OFFSET($BN$2,0,0,ROW()-1,60),ROW()-1,FALSE))</f>
        <v/>
      </c>
      <c r="BI7" t="str">
        <f ca="1">IF(AND($B$185=1,LEN($BI$193) * LEN($BI$194)&gt;0),($BI$193/$BI$194)*100,HLOOKUP(INDIRECT(ADDRESS(2,COLUMN())),OFFSET($BN$2,0,0,ROW()-1,60),ROW()-1,FALSE))</f>
        <v/>
      </c>
      <c r="BJ7" t="str">
        <f ca="1">IF(AND($B$185=1,LEN($BJ$193) * LEN($BJ$194)&gt;0),($BJ$193/$BJ$194)*100,HLOOKUP(INDIRECT(ADDRESS(2,COLUMN())),OFFSET($BN$2,0,0,ROW()-1,60),ROW()-1,FALSE))</f>
        <v/>
      </c>
      <c r="BK7" t="str">
        <f ca="1">IF(AND($B$185=1,LEN($BK$193) * LEN($BK$194)&gt;0),($BK$193/$BK$194)*100,HLOOKUP(INDIRECT(ADDRESS(2,COLUMN())),OFFSET($BN$2,0,0,ROW()-1,60),ROW()-1,FALSE))</f>
        <v/>
      </c>
      <c r="BL7" t="str">
        <f ca="1">IF(AND($B$185=1,LEN($BL$193) * LEN($BL$194)&gt;0),($BL$193/$BL$194)*100,HLOOKUP(INDIRECT(ADDRESS(2,COLUMN())),OFFSET($BN$2,0,0,ROW()-1,60),ROW()-1,FALSE))</f>
        <v/>
      </c>
      <c r="BM7" t="str">
        <f ca="1">IF(AND($B$185=1,LEN($BM$193) * LEN($BM$194)&gt;0),($BM$193/$BM$194)*100,HLOOKUP(INDIRECT(ADDRESS(2,COLUMN())),OFFSET($BN$2,0,0,ROW()-1,60),ROW()-1,FALSE))</f>
        <v/>
      </c>
      <c r="BN7" t="str">
        <f>""</f>
        <v/>
      </c>
      <c r="BO7" t="str">
        <f>""</f>
        <v/>
      </c>
      <c r="BP7" t="str">
        <f>""</f>
        <v/>
      </c>
      <c r="BQ7" t="str">
        <f>""</f>
        <v/>
      </c>
      <c r="BR7" t="str">
        <f>""</f>
        <v/>
      </c>
      <c r="BS7" t="str">
        <f>""</f>
        <v/>
      </c>
      <c r="BT7" t="str">
        <f>""</f>
        <v/>
      </c>
      <c r="BU7" t="str">
        <f>""</f>
        <v/>
      </c>
      <c r="BV7" t="str">
        <f>""</f>
        <v/>
      </c>
      <c r="BW7" t="str">
        <f>""</f>
        <v/>
      </c>
      <c r="BX7" t="str">
        <f>""</f>
        <v/>
      </c>
      <c r="BY7" t="str">
        <f>""</f>
        <v/>
      </c>
      <c r="BZ7" t="str">
        <f>""</f>
        <v/>
      </c>
      <c r="CA7" t="str">
        <f>""</f>
        <v/>
      </c>
      <c r="CB7" t="str">
        <f>""</f>
        <v/>
      </c>
      <c r="CC7" t="str">
        <f>""</f>
        <v/>
      </c>
      <c r="CD7" t="str">
        <f>""</f>
        <v/>
      </c>
      <c r="CE7" t="str">
        <f>""</f>
        <v/>
      </c>
      <c r="CF7" t="str">
        <f>""</f>
        <v/>
      </c>
      <c r="CG7" t="str">
        <f>""</f>
        <v/>
      </c>
      <c r="CH7" t="str">
        <f>""</f>
        <v/>
      </c>
      <c r="CI7" t="str">
        <f>""</f>
        <v/>
      </c>
      <c r="CJ7" t="str">
        <f>""</f>
        <v/>
      </c>
      <c r="CK7" t="str">
        <f>""</f>
        <v/>
      </c>
      <c r="CL7" t="str">
        <f>""</f>
        <v/>
      </c>
      <c r="CM7" t="str">
        <f>""</f>
        <v/>
      </c>
      <c r="CN7" t="str">
        <f>""</f>
        <v/>
      </c>
      <c r="CO7" t="str">
        <f>""</f>
        <v/>
      </c>
      <c r="CP7" t="str">
        <f>""</f>
        <v/>
      </c>
      <c r="CQ7" t="str">
        <f>""</f>
        <v/>
      </c>
      <c r="CR7" t="str">
        <f>""</f>
        <v/>
      </c>
      <c r="CS7" t="str">
        <f>""</f>
        <v/>
      </c>
      <c r="CT7" t="str">
        <f>""</f>
        <v/>
      </c>
      <c r="CU7" t="str">
        <f>""</f>
        <v/>
      </c>
      <c r="CV7" t="str">
        <f>""</f>
        <v/>
      </c>
      <c r="CW7" t="str">
        <f>""</f>
        <v/>
      </c>
      <c r="CX7" t="str">
        <f>""</f>
        <v/>
      </c>
      <c r="CY7" t="str">
        <f>""</f>
        <v/>
      </c>
      <c r="CZ7" t="str">
        <f>""</f>
        <v/>
      </c>
      <c r="DA7" t="str">
        <f>""</f>
        <v/>
      </c>
      <c r="DB7" t="str">
        <f>""</f>
        <v/>
      </c>
      <c r="DC7" t="str">
        <f>""</f>
        <v/>
      </c>
      <c r="DD7" t="str">
        <f>""</f>
        <v/>
      </c>
      <c r="DE7" t="str">
        <f>""</f>
        <v/>
      </c>
      <c r="DF7" t="str">
        <f>""</f>
        <v/>
      </c>
      <c r="DG7" t="str">
        <f>""</f>
        <v/>
      </c>
      <c r="DH7" t="str">
        <f>""</f>
        <v/>
      </c>
      <c r="DI7" t="str">
        <f>""</f>
        <v/>
      </c>
      <c r="DJ7" t="str">
        <f>""</f>
        <v/>
      </c>
      <c r="DK7" t="str">
        <f>""</f>
        <v/>
      </c>
      <c r="DL7" t="str">
        <f>""</f>
        <v/>
      </c>
      <c r="DM7" t="str">
        <f>""</f>
        <v/>
      </c>
      <c r="DN7" t="str">
        <f>""</f>
        <v/>
      </c>
      <c r="DO7" t="str">
        <f>""</f>
        <v/>
      </c>
      <c r="DP7" t="str">
        <f>""</f>
        <v/>
      </c>
      <c r="DQ7" t="str">
        <f>""</f>
        <v/>
      </c>
      <c r="DR7" t="str">
        <f>""</f>
        <v/>
      </c>
      <c r="DS7" t="str">
        <f>""</f>
        <v/>
      </c>
      <c r="DT7" t="str">
        <f>""</f>
        <v/>
      </c>
      <c r="DU7" t="str">
        <f>""</f>
        <v/>
      </c>
    </row>
    <row r="8" spans="1:125">
      <c r="A8" t="str">
        <f>"    Comerica Inc"</f>
        <v xml:space="preserve">    Comerica Inc</v>
      </c>
      <c r="B8" t="str">
        <f>"CMA US Equity"</f>
        <v>CMA US Equity</v>
      </c>
      <c r="E8" t="str">
        <f t="shared" si="0"/>
        <v>Expression</v>
      </c>
      <c r="F8" t="e">
        <f ca="1">IF(AND($B$185=1,LEN($F$195) * LEN($F$196)&gt;0),($F$195/$F$196)*100,HLOOKUP(INDIRECT(ADDRESS(2,COLUMN())),OFFSET($BN$2,0,0,ROW()-1,60),ROW()-1,FALSE))</f>
        <v>#NAME?</v>
      </c>
      <c r="G8" t="str">
        <f ca="1">IF(AND($B$185=1,LEN($G$195) * LEN($G$196)&gt;0),($G$195/$G$196)*100,HLOOKUP(INDIRECT(ADDRESS(2,COLUMN())),OFFSET($BN$2,0,0,ROW()-1,60),ROW()-1,FALSE))</f>
        <v/>
      </c>
      <c r="H8" t="str">
        <f ca="1">IF(AND($B$185=1,LEN($H$195) * LEN($H$196)&gt;0),($H$195/$H$196)*100,HLOOKUP(INDIRECT(ADDRESS(2,COLUMN())),OFFSET($BN$2,0,0,ROW()-1,60),ROW()-1,FALSE))</f>
        <v/>
      </c>
      <c r="I8" t="str">
        <f ca="1">IF(AND($B$185=1,LEN($I$195) * LEN($I$196)&gt;0),($I$195/$I$196)*100,HLOOKUP(INDIRECT(ADDRESS(2,COLUMN())),OFFSET($BN$2,0,0,ROW()-1,60),ROW()-1,FALSE))</f>
        <v/>
      </c>
      <c r="J8" t="str">
        <f ca="1">IF(AND($B$185=1,LEN($J$195) * LEN($J$196)&gt;0),($J$195/$J$196)*100,HLOOKUP(INDIRECT(ADDRESS(2,COLUMN())),OFFSET($BN$2,0,0,ROW()-1,60),ROW()-1,FALSE))</f>
        <v/>
      </c>
      <c r="K8" t="str">
        <f ca="1">IF(AND($B$185=1,LEN($K$195) * LEN($K$196)&gt;0),($K$195/$K$196)*100,HLOOKUP(INDIRECT(ADDRESS(2,COLUMN())),OFFSET($BN$2,0,0,ROW()-1,60),ROW()-1,FALSE))</f>
        <v/>
      </c>
      <c r="L8" t="str">
        <f ca="1">IF(AND($B$185=1,LEN($L$195) * LEN($L$196)&gt;0),($L$195/$L$196)*100,HLOOKUP(INDIRECT(ADDRESS(2,COLUMN())),OFFSET($BN$2,0,0,ROW()-1,60),ROW()-1,FALSE))</f>
        <v/>
      </c>
      <c r="M8" t="str">
        <f ca="1">IF(AND($B$185=1,LEN($M$195) * LEN($M$196)&gt;0),($M$195/$M$196)*100,HLOOKUP(INDIRECT(ADDRESS(2,COLUMN())),OFFSET($BN$2,0,0,ROW()-1,60),ROW()-1,FALSE))</f>
        <v/>
      </c>
      <c r="N8" t="str">
        <f ca="1">IF(AND($B$185=1,LEN($N$195) * LEN($N$196)&gt;0),($N$195/$N$196)*100,HLOOKUP(INDIRECT(ADDRESS(2,COLUMN())),OFFSET($BN$2,0,0,ROW()-1,60),ROW()-1,FALSE))</f>
        <v/>
      </c>
      <c r="O8" t="str">
        <f ca="1">IF(AND($B$185=1,LEN($O$195) * LEN($O$196)&gt;0),($O$195/$O$196)*100,HLOOKUP(INDIRECT(ADDRESS(2,COLUMN())),OFFSET($BN$2,0,0,ROW()-1,60),ROW()-1,FALSE))</f>
        <v/>
      </c>
      <c r="P8" t="str">
        <f ca="1">IF(AND($B$185=1,LEN($P$195) * LEN($P$196)&gt;0),($P$195/$P$196)*100,HLOOKUP(INDIRECT(ADDRESS(2,COLUMN())),OFFSET($BN$2,0,0,ROW()-1,60),ROW()-1,FALSE))</f>
        <v/>
      </c>
      <c r="Q8" t="str">
        <f ca="1">IF(AND($B$185=1,LEN($Q$195) * LEN($Q$196)&gt;0),($Q$195/$Q$196)*100,HLOOKUP(INDIRECT(ADDRESS(2,COLUMN())),OFFSET($BN$2,0,0,ROW()-1,60),ROW()-1,FALSE))</f>
        <v/>
      </c>
      <c r="R8" t="str">
        <f ca="1">IF(AND($B$185=1,LEN($R$195) * LEN($R$196)&gt;0),($R$195/$R$196)*100,HLOOKUP(INDIRECT(ADDRESS(2,COLUMN())),OFFSET($BN$2,0,0,ROW()-1,60),ROW()-1,FALSE))</f>
        <v/>
      </c>
      <c r="S8" t="str">
        <f ca="1">IF(AND($B$185=1,LEN($S$195) * LEN($S$196)&gt;0),($S$195/$S$196)*100,HLOOKUP(INDIRECT(ADDRESS(2,COLUMN())),OFFSET($BN$2,0,0,ROW()-1,60),ROW()-1,FALSE))</f>
        <v/>
      </c>
      <c r="T8" t="str">
        <f ca="1">IF(AND($B$185=1,LEN($T$195) * LEN($T$196)&gt;0),($T$195/$T$196)*100,HLOOKUP(INDIRECT(ADDRESS(2,COLUMN())),OFFSET($BN$2,0,0,ROW()-1,60),ROW()-1,FALSE))</f>
        <v/>
      </c>
      <c r="U8" t="str">
        <f ca="1">IF(AND($B$185=1,LEN($U$195) * LEN($U$196)&gt;0),($U$195/$U$196)*100,HLOOKUP(INDIRECT(ADDRESS(2,COLUMN())),OFFSET($BN$2,0,0,ROW()-1,60),ROW()-1,FALSE))</f>
        <v/>
      </c>
      <c r="V8" t="str">
        <f ca="1">IF(AND($B$185=1,LEN($V$195) * LEN($V$196)&gt;0),($V$195/$V$196)*100,HLOOKUP(INDIRECT(ADDRESS(2,COLUMN())),OFFSET($BN$2,0,0,ROW()-1,60),ROW()-1,FALSE))</f>
        <v/>
      </c>
      <c r="W8" t="str">
        <f ca="1">IF(AND($B$185=1,LEN($W$195) * LEN($W$196)&gt;0),($W$195/$W$196)*100,HLOOKUP(INDIRECT(ADDRESS(2,COLUMN())),OFFSET($BN$2,0,0,ROW()-1,60),ROW()-1,FALSE))</f>
        <v/>
      </c>
      <c r="X8" t="str">
        <f ca="1">IF(AND($B$185=1,LEN($X$195) * LEN($X$196)&gt;0),($X$195/$X$196)*100,HLOOKUP(INDIRECT(ADDRESS(2,COLUMN())),OFFSET($BN$2,0,0,ROW()-1,60),ROW()-1,FALSE))</f>
        <v/>
      </c>
      <c r="Y8" t="str">
        <f ca="1">IF(AND($B$185=1,LEN($Y$195) * LEN($Y$196)&gt;0),($Y$195/$Y$196)*100,HLOOKUP(INDIRECT(ADDRESS(2,COLUMN())),OFFSET($BN$2,0,0,ROW()-1,60),ROW()-1,FALSE))</f>
        <v/>
      </c>
      <c r="Z8" t="str">
        <f ca="1">IF(AND($B$185=1,LEN($Z$195) * LEN($Z$196)&gt;0),($Z$195/$Z$196)*100,HLOOKUP(INDIRECT(ADDRESS(2,COLUMN())),OFFSET($BN$2,0,0,ROW()-1,60),ROW()-1,FALSE))</f>
        <v/>
      </c>
      <c r="AA8" t="str">
        <f ca="1">IF(AND($B$185=1,LEN($AA$195) * LEN($AA$196)&gt;0),($AA$195/$AA$196)*100,HLOOKUP(INDIRECT(ADDRESS(2,COLUMN())),OFFSET($BN$2,0,0,ROW()-1,60),ROW()-1,FALSE))</f>
        <v/>
      </c>
      <c r="AB8" t="str">
        <f ca="1">IF(AND($B$185=1,LEN($AB$195) * LEN($AB$196)&gt;0),($AB$195/$AB$196)*100,HLOOKUP(INDIRECT(ADDRESS(2,COLUMN())),OFFSET($BN$2,0,0,ROW()-1,60),ROW()-1,FALSE))</f>
        <v/>
      </c>
      <c r="AC8" t="str">
        <f ca="1">IF(AND($B$185=1,LEN($AC$195) * LEN($AC$196)&gt;0),($AC$195/$AC$196)*100,HLOOKUP(INDIRECT(ADDRESS(2,COLUMN())),OFFSET($BN$2,0,0,ROW()-1,60),ROW()-1,FALSE))</f>
        <v/>
      </c>
      <c r="AD8" t="str">
        <f ca="1">IF(AND($B$185=1,LEN($AD$195) * LEN($AD$196)&gt;0),($AD$195/$AD$196)*100,HLOOKUP(INDIRECT(ADDRESS(2,COLUMN())),OFFSET($BN$2,0,0,ROW()-1,60),ROW()-1,FALSE))</f>
        <v/>
      </c>
      <c r="AE8" t="str">
        <f ca="1">IF(AND($B$185=1,LEN($AE$195) * LEN($AE$196)&gt;0),($AE$195/$AE$196)*100,HLOOKUP(INDIRECT(ADDRESS(2,COLUMN())),OFFSET($BN$2,0,0,ROW()-1,60),ROW()-1,FALSE))</f>
        <v/>
      </c>
      <c r="AF8" t="str">
        <f ca="1">IF(AND($B$185=1,LEN($AF$195) * LEN($AF$196)&gt;0),($AF$195/$AF$196)*100,HLOOKUP(INDIRECT(ADDRESS(2,COLUMN())),OFFSET($BN$2,0,0,ROW()-1,60),ROW()-1,FALSE))</f>
        <v/>
      </c>
      <c r="AG8" t="str">
        <f ca="1">IF(AND($B$185=1,LEN($AG$195) * LEN($AG$196)&gt;0),($AG$195/$AG$196)*100,HLOOKUP(INDIRECT(ADDRESS(2,COLUMN())),OFFSET($BN$2,0,0,ROW()-1,60),ROW()-1,FALSE))</f>
        <v/>
      </c>
      <c r="AH8" t="str">
        <f ca="1">IF(AND($B$185=1,LEN($AH$195) * LEN($AH$196)&gt;0),($AH$195/$AH$196)*100,HLOOKUP(INDIRECT(ADDRESS(2,COLUMN())),OFFSET($BN$2,0,0,ROW()-1,60),ROW()-1,FALSE))</f>
        <v/>
      </c>
      <c r="AI8" t="str">
        <f ca="1">IF(AND($B$185=1,LEN($AI$195) * LEN($AI$196)&gt;0),($AI$195/$AI$196)*100,HLOOKUP(INDIRECT(ADDRESS(2,COLUMN())),OFFSET($BN$2,0,0,ROW()-1,60),ROW()-1,FALSE))</f>
        <v/>
      </c>
      <c r="AJ8" t="str">
        <f ca="1">IF(AND($B$185=1,LEN($AJ$195) * LEN($AJ$196)&gt;0),($AJ$195/$AJ$196)*100,HLOOKUP(INDIRECT(ADDRESS(2,COLUMN())),OFFSET($BN$2,0,0,ROW()-1,60),ROW()-1,FALSE))</f>
        <v/>
      </c>
      <c r="AK8" t="str">
        <f ca="1">IF(AND($B$185=1,LEN($AK$195) * LEN($AK$196)&gt;0),($AK$195/$AK$196)*100,HLOOKUP(INDIRECT(ADDRESS(2,COLUMN())),OFFSET($BN$2,0,0,ROW()-1,60),ROW()-1,FALSE))</f>
        <v/>
      </c>
      <c r="AL8" t="str">
        <f ca="1">IF(AND($B$185=1,LEN($AL$195) * LEN($AL$196)&gt;0),($AL$195/$AL$196)*100,HLOOKUP(INDIRECT(ADDRESS(2,COLUMN())),OFFSET($BN$2,0,0,ROW()-1,60),ROW()-1,FALSE))</f>
        <v/>
      </c>
      <c r="AM8" t="str">
        <f ca="1">IF(AND($B$185=1,LEN($AM$195) * LEN($AM$196)&gt;0),($AM$195/$AM$196)*100,HLOOKUP(INDIRECT(ADDRESS(2,COLUMN())),OFFSET($BN$2,0,0,ROW()-1,60),ROW()-1,FALSE))</f>
        <v/>
      </c>
      <c r="AN8" t="str">
        <f ca="1">IF(AND($B$185=1,LEN($AN$195) * LEN($AN$196)&gt;0),($AN$195/$AN$196)*100,HLOOKUP(INDIRECT(ADDRESS(2,COLUMN())),OFFSET($BN$2,0,0,ROW()-1,60),ROW()-1,FALSE))</f>
        <v/>
      </c>
      <c r="AO8" t="str">
        <f ca="1">IF(AND($B$185=1,LEN($AO$195) * LEN($AO$196)&gt;0),($AO$195/$AO$196)*100,HLOOKUP(INDIRECT(ADDRESS(2,COLUMN())),OFFSET($BN$2,0,0,ROW()-1,60),ROW()-1,FALSE))</f>
        <v/>
      </c>
      <c r="AP8" t="str">
        <f ca="1">IF(AND($B$185=1,LEN($AP$195) * LEN($AP$196)&gt;0),($AP$195/$AP$196)*100,HLOOKUP(INDIRECT(ADDRESS(2,COLUMN())),OFFSET($BN$2,0,0,ROW()-1,60),ROW()-1,FALSE))</f>
        <v/>
      </c>
      <c r="AQ8" t="str">
        <f ca="1">IF(AND($B$185=1,LEN($AQ$195) * LEN($AQ$196)&gt;0),($AQ$195/$AQ$196)*100,HLOOKUP(INDIRECT(ADDRESS(2,COLUMN())),OFFSET($BN$2,0,0,ROW()-1,60),ROW()-1,FALSE))</f>
        <v/>
      </c>
      <c r="AR8" t="str">
        <f ca="1">IF(AND($B$185=1,LEN($AR$195) * LEN($AR$196)&gt;0),($AR$195/$AR$196)*100,HLOOKUP(INDIRECT(ADDRESS(2,COLUMN())),OFFSET($BN$2,0,0,ROW()-1,60),ROW()-1,FALSE))</f>
        <v/>
      </c>
      <c r="AS8" t="str">
        <f ca="1">IF(AND($B$185=1,LEN($AS$195) * LEN($AS$196)&gt;0),($AS$195/$AS$196)*100,HLOOKUP(INDIRECT(ADDRESS(2,COLUMN())),OFFSET($BN$2,0,0,ROW()-1,60),ROW()-1,FALSE))</f>
        <v/>
      </c>
      <c r="AT8" t="str">
        <f ca="1">IF(AND($B$185=1,LEN($AT$195) * LEN($AT$196)&gt;0),($AT$195/$AT$196)*100,HLOOKUP(INDIRECT(ADDRESS(2,COLUMN())),OFFSET($BN$2,0,0,ROW()-1,60),ROW()-1,FALSE))</f>
        <v/>
      </c>
      <c r="AU8" t="str">
        <f ca="1">IF(AND($B$185=1,LEN($AU$195) * LEN($AU$196)&gt;0),($AU$195/$AU$196)*100,HLOOKUP(INDIRECT(ADDRESS(2,COLUMN())),OFFSET($BN$2,0,0,ROW()-1,60),ROW()-1,FALSE))</f>
        <v/>
      </c>
      <c r="AV8" t="str">
        <f ca="1">IF(AND($B$185=1,LEN($AV$195) * LEN($AV$196)&gt;0),($AV$195/$AV$196)*100,HLOOKUP(INDIRECT(ADDRESS(2,COLUMN())),OFFSET($BN$2,0,0,ROW()-1,60),ROW()-1,FALSE))</f>
        <v/>
      </c>
      <c r="AW8" t="str">
        <f ca="1">IF(AND($B$185=1,LEN($AW$195) * LEN($AW$196)&gt;0),($AW$195/$AW$196)*100,HLOOKUP(INDIRECT(ADDRESS(2,COLUMN())),OFFSET($BN$2,0,0,ROW()-1,60),ROW()-1,FALSE))</f>
        <v/>
      </c>
      <c r="AX8" t="str">
        <f ca="1">IF(AND($B$185=1,LEN($AX$195) * LEN($AX$196)&gt;0),($AX$195/$AX$196)*100,HLOOKUP(INDIRECT(ADDRESS(2,COLUMN())),OFFSET($BN$2,0,0,ROW()-1,60),ROW()-1,FALSE))</f>
        <v/>
      </c>
      <c r="AY8" t="str">
        <f ca="1">IF(AND($B$185=1,LEN($AY$195) * LEN($AY$196)&gt;0),($AY$195/$AY$196)*100,HLOOKUP(INDIRECT(ADDRESS(2,COLUMN())),OFFSET($BN$2,0,0,ROW()-1,60),ROW()-1,FALSE))</f>
        <v/>
      </c>
      <c r="AZ8" t="str">
        <f ca="1">IF(AND($B$185=1,LEN($AZ$195) * LEN($AZ$196)&gt;0),($AZ$195/$AZ$196)*100,HLOOKUP(INDIRECT(ADDRESS(2,COLUMN())),OFFSET($BN$2,0,0,ROW()-1,60),ROW()-1,FALSE))</f>
        <v/>
      </c>
      <c r="BA8" t="str">
        <f ca="1">IF(AND($B$185=1,LEN($BA$195) * LEN($BA$196)&gt;0),($BA$195/$BA$196)*100,HLOOKUP(INDIRECT(ADDRESS(2,COLUMN())),OFFSET($BN$2,0,0,ROW()-1,60),ROW()-1,FALSE))</f>
        <v/>
      </c>
      <c r="BB8" t="str">
        <f ca="1">IF(AND($B$185=1,LEN($BB$195) * LEN($BB$196)&gt;0),($BB$195/$BB$196)*100,HLOOKUP(INDIRECT(ADDRESS(2,COLUMN())),OFFSET($BN$2,0,0,ROW()-1,60),ROW()-1,FALSE))</f>
        <v/>
      </c>
      <c r="BC8" t="str">
        <f ca="1">IF(AND($B$185=1,LEN($BC$195) * LEN($BC$196)&gt;0),($BC$195/$BC$196)*100,HLOOKUP(INDIRECT(ADDRESS(2,COLUMN())),OFFSET($BN$2,0,0,ROW()-1,60),ROW()-1,FALSE))</f>
        <v/>
      </c>
      <c r="BD8" t="str">
        <f ca="1">IF(AND($B$185=1,LEN($BD$195) * LEN($BD$196)&gt;0),($BD$195/$BD$196)*100,HLOOKUP(INDIRECT(ADDRESS(2,COLUMN())),OFFSET($BN$2,0,0,ROW()-1,60),ROW()-1,FALSE))</f>
        <v/>
      </c>
      <c r="BE8" t="str">
        <f ca="1">IF(AND($B$185=1,LEN($BE$195) * LEN($BE$196)&gt;0),($BE$195/$BE$196)*100,HLOOKUP(INDIRECT(ADDRESS(2,COLUMN())),OFFSET($BN$2,0,0,ROW()-1,60),ROW()-1,FALSE))</f>
        <v/>
      </c>
      <c r="BF8" t="str">
        <f ca="1">IF(AND($B$185=1,LEN($BF$195) * LEN($BF$196)&gt;0),($BF$195/$BF$196)*100,HLOOKUP(INDIRECT(ADDRESS(2,COLUMN())),OFFSET($BN$2,0,0,ROW()-1,60),ROW()-1,FALSE))</f>
        <v/>
      </c>
      <c r="BG8" t="str">
        <f ca="1">IF(AND($B$185=1,LEN($BG$195) * LEN($BG$196)&gt;0),($BG$195/$BG$196)*100,HLOOKUP(INDIRECT(ADDRESS(2,COLUMN())),OFFSET($BN$2,0,0,ROW()-1,60),ROW()-1,FALSE))</f>
        <v/>
      </c>
      <c r="BH8" t="str">
        <f ca="1">IF(AND($B$185=1,LEN($BH$195) * LEN($BH$196)&gt;0),($BH$195/$BH$196)*100,HLOOKUP(INDIRECT(ADDRESS(2,COLUMN())),OFFSET($BN$2,0,0,ROW()-1,60),ROW()-1,FALSE))</f>
        <v/>
      </c>
      <c r="BI8" t="str">
        <f ca="1">IF(AND($B$185=1,LEN($BI$195) * LEN($BI$196)&gt;0),($BI$195/$BI$196)*100,HLOOKUP(INDIRECT(ADDRESS(2,COLUMN())),OFFSET($BN$2,0,0,ROW()-1,60),ROW()-1,FALSE))</f>
        <v/>
      </c>
      <c r="BJ8" t="str">
        <f ca="1">IF(AND($B$185=1,LEN($BJ$195) * LEN($BJ$196)&gt;0),($BJ$195/$BJ$196)*100,HLOOKUP(INDIRECT(ADDRESS(2,COLUMN())),OFFSET($BN$2,0,0,ROW()-1,60),ROW()-1,FALSE))</f>
        <v/>
      </c>
      <c r="BK8" t="str">
        <f ca="1">IF(AND($B$185=1,LEN($BK$195) * LEN($BK$196)&gt;0),($BK$195/$BK$196)*100,HLOOKUP(INDIRECT(ADDRESS(2,COLUMN())),OFFSET($BN$2,0,0,ROW()-1,60),ROW()-1,FALSE))</f>
        <v/>
      </c>
      <c r="BL8" t="str">
        <f ca="1">IF(AND($B$185=1,LEN($BL$195) * LEN($BL$196)&gt;0),($BL$195/$BL$196)*100,HLOOKUP(INDIRECT(ADDRESS(2,COLUMN())),OFFSET($BN$2,0,0,ROW()-1,60),ROW()-1,FALSE))</f>
        <v/>
      </c>
      <c r="BM8" t="str">
        <f ca="1">IF(AND($B$185=1,LEN($BM$195) * LEN($BM$196)&gt;0),($BM$195/$BM$196)*100,HLOOKUP(INDIRECT(ADDRESS(2,COLUMN())),OFFSET($BN$2,0,0,ROW()-1,60),ROW()-1,FALSE))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  <c r="BT8" t="str">
        <f>""</f>
        <v/>
      </c>
      <c r="BU8" t="str">
        <f>""</f>
        <v/>
      </c>
      <c r="BV8" t="str">
        <f>""</f>
        <v/>
      </c>
      <c r="BW8" t="str">
        <f>""</f>
        <v/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  <c r="CH8" t="str">
        <f>""</f>
        <v/>
      </c>
      <c r="CI8" t="str">
        <f>""</f>
        <v/>
      </c>
      <c r="CJ8" t="str">
        <f>""</f>
        <v/>
      </c>
      <c r="CK8" t="str">
        <f>""</f>
        <v/>
      </c>
      <c r="CL8" t="str">
        <f>""</f>
        <v/>
      </c>
      <c r="CM8" t="str">
        <f>""</f>
        <v/>
      </c>
      <c r="CN8" t="str">
        <f>""</f>
        <v/>
      </c>
      <c r="CO8" t="str">
        <f>""</f>
        <v/>
      </c>
      <c r="CP8" t="str">
        <f>""</f>
        <v/>
      </c>
      <c r="CQ8" t="str">
        <f>""</f>
        <v/>
      </c>
      <c r="CR8" t="str">
        <f>""</f>
        <v/>
      </c>
      <c r="CS8" t="str">
        <f>""</f>
        <v/>
      </c>
      <c r="CT8" t="str">
        <f>""</f>
        <v/>
      </c>
      <c r="CU8" t="str">
        <f>""</f>
        <v/>
      </c>
      <c r="CV8" t="str">
        <f>""</f>
        <v/>
      </c>
      <c r="CW8" t="str">
        <f>""</f>
        <v/>
      </c>
      <c r="CX8" t="str">
        <f>""</f>
        <v/>
      </c>
      <c r="CY8" t="str">
        <f>""</f>
        <v/>
      </c>
      <c r="CZ8" t="str">
        <f>""</f>
        <v/>
      </c>
      <c r="DA8" t="str">
        <f>""</f>
        <v/>
      </c>
      <c r="DB8" t="str">
        <f>""</f>
        <v/>
      </c>
      <c r="DC8" t="str">
        <f>""</f>
        <v/>
      </c>
      <c r="DD8" t="str">
        <f>""</f>
        <v/>
      </c>
      <c r="DE8" t="str">
        <f>""</f>
        <v/>
      </c>
      <c r="DF8" t="str">
        <f>""</f>
        <v/>
      </c>
      <c r="DG8" t="str">
        <f>""</f>
        <v/>
      </c>
      <c r="DH8" t="str">
        <f>""</f>
        <v/>
      </c>
      <c r="DI8" t="str">
        <f>""</f>
        <v/>
      </c>
      <c r="DJ8" t="str">
        <f>""</f>
        <v/>
      </c>
      <c r="DK8" t="str">
        <f>""</f>
        <v/>
      </c>
      <c r="DL8" t="str">
        <f>""</f>
        <v/>
      </c>
      <c r="DM8" t="str">
        <f>""</f>
        <v/>
      </c>
      <c r="DN8" t="str">
        <f>""</f>
        <v/>
      </c>
      <c r="DO8" t="str">
        <f>""</f>
        <v/>
      </c>
      <c r="DP8" t="str">
        <f>""</f>
        <v/>
      </c>
      <c r="DQ8" t="str">
        <f>""</f>
        <v/>
      </c>
      <c r="DR8" t="str">
        <f>""</f>
        <v/>
      </c>
      <c r="DS8" t="str">
        <f>""</f>
        <v/>
      </c>
      <c r="DT8" t="str">
        <f>""</f>
        <v/>
      </c>
      <c r="DU8" t="str">
        <f>""</f>
        <v/>
      </c>
    </row>
    <row r="9" spans="1:125">
      <c r="A9" t="str">
        <f>"    East West Bancorp Inc"</f>
        <v xml:space="preserve">    East West Bancorp Inc</v>
      </c>
      <c r="B9" t="str">
        <f>"EWBC US Equity"</f>
        <v>EWBC US Equity</v>
      </c>
      <c r="E9" t="str">
        <f t="shared" si="0"/>
        <v>Expression</v>
      </c>
      <c r="F9" t="e">
        <f ca="1">IF(AND($B$185=1,LEN($F$197) * LEN($F$198)&gt;0),($F$197/$F$198)*100,HLOOKUP(INDIRECT(ADDRESS(2,COLUMN())),OFFSET($BN$2,0,0,ROW()-1,60),ROW()-1,FALSE))</f>
        <v>#NAME?</v>
      </c>
      <c r="G9" t="str">
        <f ca="1">IF(AND($B$185=1,LEN($G$197) * LEN($G$198)&gt;0),($G$197/$G$198)*100,HLOOKUP(INDIRECT(ADDRESS(2,COLUMN())),OFFSET($BN$2,0,0,ROW()-1,60),ROW()-1,FALSE))</f>
        <v/>
      </c>
      <c r="H9" t="str">
        <f ca="1">IF(AND($B$185=1,LEN($H$197) * LEN($H$198)&gt;0),($H$197/$H$198)*100,HLOOKUP(INDIRECT(ADDRESS(2,COLUMN())),OFFSET($BN$2,0,0,ROW()-1,60),ROW()-1,FALSE))</f>
        <v/>
      </c>
      <c r="I9" t="str">
        <f ca="1">IF(AND($B$185=1,LEN($I$197) * LEN($I$198)&gt;0),($I$197/$I$198)*100,HLOOKUP(INDIRECT(ADDRESS(2,COLUMN())),OFFSET($BN$2,0,0,ROW()-1,60),ROW()-1,FALSE))</f>
        <v/>
      </c>
      <c r="J9" t="str">
        <f ca="1">IF(AND($B$185=1,LEN($J$197) * LEN($J$198)&gt;0),($J$197/$J$198)*100,HLOOKUP(INDIRECT(ADDRESS(2,COLUMN())),OFFSET($BN$2,0,0,ROW()-1,60),ROW()-1,FALSE))</f>
        <v/>
      </c>
      <c r="K9" t="str">
        <f ca="1">IF(AND($B$185=1,LEN($K$197) * LEN($K$198)&gt;0),($K$197/$K$198)*100,HLOOKUP(INDIRECT(ADDRESS(2,COLUMN())),OFFSET($BN$2,0,0,ROW()-1,60),ROW()-1,FALSE))</f>
        <v/>
      </c>
      <c r="L9" t="str">
        <f ca="1">IF(AND($B$185=1,LEN($L$197) * LEN($L$198)&gt;0),($L$197/$L$198)*100,HLOOKUP(INDIRECT(ADDRESS(2,COLUMN())),OFFSET($BN$2,0,0,ROW()-1,60),ROW()-1,FALSE))</f>
        <v/>
      </c>
      <c r="M9" t="str">
        <f ca="1">IF(AND($B$185=1,LEN($M$197) * LEN($M$198)&gt;0),($M$197/$M$198)*100,HLOOKUP(INDIRECT(ADDRESS(2,COLUMN())),OFFSET($BN$2,0,0,ROW()-1,60),ROW()-1,FALSE))</f>
        <v/>
      </c>
      <c r="N9" t="str">
        <f ca="1">IF(AND($B$185=1,LEN($N$197) * LEN($N$198)&gt;0),($N$197/$N$198)*100,HLOOKUP(INDIRECT(ADDRESS(2,COLUMN())),OFFSET($BN$2,0,0,ROW()-1,60),ROW()-1,FALSE))</f>
        <v/>
      </c>
      <c r="O9" t="str">
        <f ca="1">IF(AND($B$185=1,LEN($O$197) * LEN($O$198)&gt;0),($O$197/$O$198)*100,HLOOKUP(INDIRECT(ADDRESS(2,COLUMN())),OFFSET($BN$2,0,0,ROW()-1,60),ROW()-1,FALSE))</f>
        <v/>
      </c>
      <c r="P9" t="str">
        <f ca="1">IF(AND($B$185=1,LEN($P$197) * LEN($P$198)&gt;0),($P$197/$P$198)*100,HLOOKUP(INDIRECT(ADDRESS(2,COLUMN())),OFFSET($BN$2,0,0,ROW()-1,60),ROW()-1,FALSE))</f>
        <v/>
      </c>
      <c r="Q9" t="str">
        <f ca="1">IF(AND($B$185=1,LEN($Q$197) * LEN($Q$198)&gt;0),($Q$197/$Q$198)*100,HLOOKUP(INDIRECT(ADDRESS(2,COLUMN())),OFFSET($BN$2,0,0,ROW()-1,60),ROW()-1,FALSE))</f>
        <v/>
      </c>
      <c r="R9" t="str">
        <f ca="1">IF(AND($B$185=1,LEN($R$197) * LEN($R$198)&gt;0),($R$197/$R$198)*100,HLOOKUP(INDIRECT(ADDRESS(2,COLUMN())),OFFSET($BN$2,0,0,ROW()-1,60),ROW()-1,FALSE))</f>
        <v/>
      </c>
      <c r="S9" t="str">
        <f ca="1">IF(AND($B$185=1,LEN($S$197) * LEN($S$198)&gt;0),($S$197/$S$198)*100,HLOOKUP(INDIRECT(ADDRESS(2,COLUMN())),OFFSET($BN$2,0,0,ROW()-1,60),ROW()-1,FALSE))</f>
        <v/>
      </c>
      <c r="T9" t="str">
        <f ca="1">IF(AND($B$185=1,LEN($T$197) * LEN($T$198)&gt;0),($T$197/$T$198)*100,HLOOKUP(INDIRECT(ADDRESS(2,COLUMN())),OFFSET($BN$2,0,0,ROW()-1,60),ROW()-1,FALSE))</f>
        <v/>
      </c>
      <c r="U9" t="str">
        <f ca="1">IF(AND($B$185=1,LEN($U$197) * LEN($U$198)&gt;0),($U$197/$U$198)*100,HLOOKUP(INDIRECT(ADDRESS(2,COLUMN())),OFFSET($BN$2,0,0,ROW()-1,60),ROW()-1,FALSE))</f>
        <v/>
      </c>
      <c r="V9" t="str">
        <f ca="1">IF(AND($B$185=1,LEN($V$197) * LEN($V$198)&gt;0),($V$197/$V$198)*100,HLOOKUP(INDIRECT(ADDRESS(2,COLUMN())),OFFSET($BN$2,0,0,ROW()-1,60),ROW()-1,FALSE))</f>
        <v/>
      </c>
      <c r="W9" t="str">
        <f ca="1">IF(AND($B$185=1,LEN($W$197) * LEN($W$198)&gt;0),($W$197/$W$198)*100,HLOOKUP(INDIRECT(ADDRESS(2,COLUMN())),OFFSET($BN$2,0,0,ROW()-1,60),ROW()-1,FALSE))</f>
        <v/>
      </c>
      <c r="X9" t="str">
        <f ca="1">IF(AND($B$185=1,LEN($X$197) * LEN($X$198)&gt;0),($X$197/$X$198)*100,HLOOKUP(INDIRECT(ADDRESS(2,COLUMN())),OFFSET($BN$2,0,0,ROW()-1,60),ROW()-1,FALSE))</f>
        <v/>
      </c>
      <c r="Y9" t="str">
        <f ca="1">IF(AND($B$185=1,LEN($Y$197) * LEN($Y$198)&gt;0),($Y$197/$Y$198)*100,HLOOKUP(INDIRECT(ADDRESS(2,COLUMN())),OFFSET($BN$2,0,0,ROW()-1,60),ROW()-1,FALSE))</f>
        <v/>
      </c>
      <c r="Z9" t="str">
        <f ca="1">IF(AND($B$185=1,LEN($Z$197) * LEN($Z$198)&gt;0),($Z$197/$Z$198)*100,HLOOKUP(INDIRECT(ADDRESS(2,COLUMN())),OFFSET($BN$2,0,0,ROW()-1,60),ROW()-1,FALSE))</f>
        <v/>
      </c>
      <c r="AA9" t="str">
        <f ca="1">IF(AND($B$185=1,LEN($AA$197) * LEN($AA$198)&gt;0),($AA$197/$AA$198)*100,HLOOKUP(INDIRECT(ADDRESS(2,COLUMN())),OFFSET($BN$2,0,0,ROW()-1,60),ROW()-1,FALSE))</f>
        <v/>
      </c>
      <c r="AB9" t="str">
        <f ca="1">IF(AND($B$185=1,LEN($AB$197) * LEN($AB$198)&gt;0),($AB$197/$AB$198)*100,HLOOKUP(INDIRECT(ADDRESS(2,COLUMN())),OFFSET($BN$2,0,0,ROW()-1,60),ROW()-1,FALSE))</f>
        <v/>
      </c>
      <c r="AC9" t="str">
        <f ca="1">IF(AND($B$185=1,LEN($AC$197) * LEN($AC$198)&gt;0),($AC$197/$AC$198)*100,HLOOKUP(INDIRECT(ADDRESS(2,COLUMN())),OFFSET($BN$2,0,0,ROW()-1,60),ROW()-1,FALSE))</f>
        <v/>
      </c>
      <c r="AD9" t="str">
        <f ca="1">IF(AND($B$185=1,LEN($AD$197) * LEN($AD$198)&gt;0),($AD$197/$AD$198)*100,HLOOKUP(INDIRECT(ADDRESS(2,COLUMN())),OFFSET($BN$2,0,0,ROW()-1,60),ROW()-1,FALSE))</f>
        <v/>
      </c>
      <c r="AE9" t="str">
        <f ca="1">IF(AND($B$185=1,LEN($AE$197) * LEN($AE$198)&gt;0),($AE$197/$AE$198)*100,HLOOKUP(INDIRECT(ADDRESS(2,COLUMN())),OFFSET($BN$2,0,0,ROW()-1,60),ROW()-1,FALSE))</f>
        <v/>
      </c>
      <c r="AF9" t="str">
        <f ca="1">IF(AND($B$185=1,LEN($AF$197) * LEN($AF$198)&gt;0),($AF$197/$AF$198)*100,HLOOKUP(INDIRECT(ADDRESS(2,COLUMN())),OFFSET($BN$2,0,0,ROW()-1,60),ROW()-1,FALSE))</f>
        <v/>
      </c>
      <c r="AG9" t="str">
        <f ca="1">IF(AND($B$185=1,LEN($AG$197) * LEN($AG$198)&gt;0),($AG$197/$AG$198)*100,HLOOKUP(INDIRECT(ADDRESS(2,COLUMN())),OFFSET($BN$2,0,0,ROW()-1,60),ROW()-1,FALSE))</f>
        <v/>
      </c>
      <c r="AH9" t="str">
        <f ca="1">IF(AND($B$185=1,LEN($AH$197) * LEN($AH$198)&gt;0),($AH$197/$AH$198)*100,HLOOKUP(INDIRECT(ADDRESS(2,COLUMN())),OFFSET($BN$2,0,0,ROW()-1,60),ROW()-1,FALSE))</f>
        <v/>
      </c>
      <c r="AI9" t="str">
        <f ca="1">IF(AND($B$185=1,LEN($AI$197) * LEN($AI$198)&gt;0),($AI$197/$AI$198)*100,HLOOKUP(INDIRECT(ADDRESS(2,COLUMN())),OFFSET($BN$2,0,0,ROW()-1,60),ROW()-1,FALSE))</f>
        <v/>
      </c>
      <c r="AJ9" t="str">
        <f ca="1">IF(AND($B$185=1,LEN($AJ$197) * LEN($AJ$198)&gt;0),($AJ$197/$AJ$198)*100,HLOOKUP(INDIRECT(ADDRESS(2,COLUMN())),OFFSET($BN$2,0,0,ROW()-1,60),ROW()-1,FALSE))</f>
        <v/>
      </c>
      <c r="AK9" t="str">
        <f ca="1">IF(AND($B$185=1,LEN($AK$197) * LEN($AK$198)&gt;0),($AK$197/$AK$198)*100,HLOOKUP(INDIRECT(ADDRESS(2,COLUMN())),OFFSET($BN$2,0,0,ROW()-1,60),ROW()-1,FALSE))</f>
        <v/>
      </c>
      <c r="AL9" t="str">
        <f ca="1">IF(AND($B$185=1,LEN($AL$197) * LEN($AL$198)&gt;0),($AL$197/$AL$198)*100,HLOOKUP(INDIRECT(ADDRESS(2,COLUMN())),OFFSET($BN$2,0,0,ROW()-1,60),ROW()-1,FALSE))</f>
        <v/>
      </c>
      <c r="AM9" t="str">
        <f ca="1">IF(AND($B$185=1,LEN($AM$197) * LEN($AM$198)&gt;0),($AM$197/$AM$198)*100,HLOOKUP(INDIRECT(ADDRESS(2,COLUMN())),OFFSET($BN$2,0,0,ROW()-1,60),ROW()-1,FALSE))</f>
        <v/>
      </c>
      <c r="AN9" t="str">
        <f ca="1">IF(AND($B$185=1,LEN($AN$197) * LEN($AN$198)&gt;0),($AN$197/$AN$198)*100,HLOOKUP(INDIRECT(ADDRESS(2,COLUMN())),OFFSET($BN$2,0,0,ROW()-1,60),ROW()-1,FALSE))</f>
        <v/>
      </c>
      <c r="AO9" t="str">
        <f ca="1">IF(AND($B$185=1,LEN($AO$197) * LEN($AO$198)&gt;0),($AO$197/$AO$198)*100,HLOOKUP(INDIRECT(ADDRESS(2,COLUMN())),OFFSET($BN$2,0,0,ROW()-1,60),ROW()-1,FALSE))</f>
        <v/>
      </c>
      <c r="AP9" t="str">
        <f ca="1">IF(AND($B$185=1,LEN($AP$197) * LEN($AP$198)&gt;0),($AP$197/$AP$198)*100,HLOOKUP(INDIRECT(ADDRESS(2,COLUMN())),OFFSET($BN$2,0,0,ROW()-1,60),ROW()-1,FALSE))</f>
        <v/>
      </c>
      <c r="AQ9" t="str">
        <f ca="1">IF(AND($B$185=1,LEN($AQ$197) * LEN($AQ$198)&gt;0),($AQ$197/$AQ$198)*100,HLOOKUP(INDIRECT(ADDRESS(2,COLUMN())),OFFSET($BN$2,0,0,ROW()-1,60),ROW()-1,FALSE))</f>
        <v/>
      </c>
      <c r="AR9" t="str">
        <f ca="1">IF(AND($B$185=1,LEN($AR$197) * LEN($AR$198)&gt;0),($AR$197/$AR$198)*100,HLOOKUP(INDIRECT(ADDRESS(2,COLUMN())),OFFSET($BN$2,0,0,ROW()-1,60),ROW()-1,FALSE))</f>
        <v/>
      </c>
      <c r="AS9" t="str">
        <f ca="1">IF(AND($B$185=1,LEN($AS$197) * LEN($AS$198)&gt;0),($AS$197/$AS$198)*100,HLOOKUP(INDIRECT(ADDRESS(2,COLUMN())),OFFSET($BN$2,0,0,ROW()-1,60),ROW()-1,FALSE))</f>
        <v/>
      </c>
      <c r="AT9" t="str">
        <f ca="1">IF(AND($B$185=1,LEN($AT$197) * LEN($AT$198)&gt;0),($AT$197/$AT$198)*100,HLOOKUP(INDIRECT(ADDRESS(2,COLUMN())),OFFSET($BN$2,0,0,ROW()-1,60),ROW()-1,FALSE))</f>
        <v/>
      </c>
      <c r="AU9" t="str">
        <f ca="1">IF(AND($B$185=1,LEN($AU$197) * LEN($AU$198)&gt;0),($AU$197/$AU$198)*100,HLOOKUP(INDIRECT(ADDRESS(2,COLUMN())),OFFSET($BN$2,0,0,ROW()-1,60),ROW()-1,FALSE))</f>
        <v/>
      </c>
      <c r="AV9" t="str">
        <f ca="1">IF(AND($B$185=1,LEN($AV$197) * LEN($AV$198)&gt;0),($AV$197/$AV$198)*100,HLOOKUP(INDIRECT(ADDRESS(2,COLUMN())),OFFSET($BN$2,0,0,ROW()-1,60),ROW()-1,FALSE))</f>
        <v/>
      </c>
      <c r="AW9" t="str">
        <f ca="1">IF(AND($B$185=1,LEN($AW$197) * LEN($AW$198)&gt;0),($AW$197/$AW$198)*100,HLOOKUP(INDIRECT(ADDRESS(2,COLUMN())),OFFSET($BN$2,0,0,ROW()-1,60),ROW()-1,FALSE))</f>
        <v/>
      </c>
      <c r="AX9" t="str">
        <f ca="1">IF(AND($B$185=1,LEN($AX$197) * LEN($AX$198)&gt;0),($AX$197/$AX$198)*100,HLOOKUP(INDIRECT(ADDRESS(2,COLUMN())),OFFSET($BN$2,0,0,ROW()-1,60),ROW()-1,FALSE))</f>
        <v/>
      </c>
      <c r="AY9" t="str">
        <f ca="1">IF(AND($B$185=1,LEN($AY$197) * LEN($AY$198)&gt;0),($AY$197/$AY$198)*100,HLOOKUP(INDIRECT(ADDRESS(2,COLUMN())),OFFSET($BN$2,0,0,ROW()-1,60),ROW()-1,FALSE))</f>
        <v/>
      </c>
      <c r="AZ9" t="str">
        <f ca="1">IF(AND($B$185=1,LEN($AZ$197) * LEN($AZ$198)&gt;0),($AZ$197/$AZ$198)*100,HLOOKUP(INDIRECT(ADDRESS(2,COLUMN())),OFFSET($BN$2,0,0,ROW()-1,60),ROW()-1,FALSE))</f>
        <v/>
      </c>
      <c r="BA9" t="str">
        <f ca="1">IF(AND($B$185=1,LEN($BA$197) * LEN($BA$198)&gt;0),($BA$197/$BA$198)*100,HLOOKUP(INDIRECT(ADDRESS(2,COLUMN())),OFFSET($BN$2,0,0,ROW()-1,60),ROW()-1,FALSE))</f>
        <v/>
      </c>
      <c r="BB9" t="str">
        <f ca="1">IF(AND($B$185=1,LEN($BB$197) * LEN($BB$198)&gt;0),($BB$197/$BB$198)*100,HLOOKUP(INDIRECT(ADDRESS(2,COLUMN())),OFFSET($BN$2,0,0,ROW()-1,60),ROW()-1,FALSE))</f>
        <v/>
      </c>
      <c r="BC9" t="str">
        <f ca="1">IF(AND($B$185=1,LEN($BC$197) * LEN($BC$198)&gt;0),($BC$197/$BC$198)*100,HLOOKUP(INDIRECT(ADDRESS(2,COLUMN())),OFFSET($BN$2,0,0,ROW()-1,60),ROW()-1,FALSE))</f>
        <v/>
      </c>
      <c r="BD9" t="str">
        <f ca="1">IF(AND($B$185=1,LEN($BD$197) * LEN($BD$198)&gt;0),($BD$197/$BD$198)*100,HLOOKUP(INDIRECT(ADDRESS(2,COLUMN())),OFFSET($BN$2,0,0,ROW()-1,60),ROW()-1,FALSE))</f>
        <v/>
      </c>
      <c r="BE9" t="str">
        <f ca="1">IF(AND($B$185=1,LEN($BE$197) * LEN($BE$198)&gt;0),($BE$197/$BE$198)*100,HLOOKUP(INDIRECT(ADDRESS(2,COLUMN())),OFFSET($BN$2,0,0,ROW()-1,60),ROW()-1,FALSE))</f>
        <v/>
      </c>
      <c r="BF9" t="str">
        <f ca="1">IF(AND($B$185=1,LEN($BF$197) * LEN($BF$198)&gt;0),($BF$197/$BF$198)*100,HLOOKUP(INDIRECT(ADDRESS(2,COLUMN())),OFFSET($BN$2,0,0,ROW()-1,60),ROW()-1,FALSE))</f>
        <v/>
      </c>
      <c r="BG9" t="str">
        <f ca="1">IF(AND($B$185=1,LEN($BG$197) * LEN($BG$198)&gt;0),($BG$197/$BG$198)*100,HLOOKUP(INDIRECT(ADDRESS(2,COLUMN())),OFFSET($BN$2,0,0,ROW()-1,60),ROW()-1,FALSE))</f>
        <v/>
      </c>
      <c r="BH9" t="str">
        <f ca="1">IF(AND($B$185=1,LEN($BH$197) * LEN($BH$198)&gt;0),($BH$197/$BH$198)*100,HLOOKUP(INDIRECT(ADDRESS(2,COLUMN())),OFFSET($BN$2,0,0,ROW()-1,60),ROW()-1,FALSE))</f>
        <v/>
      </c>
      <c r="BI9" t="str">
        <f ca="1">IF(AND($B$185=1,LEN($BI$197) * LEN($BI$198)&gt;0),($BI$197/$BI$198)*100,HLOOKUP(INDIRECT(ADDRESS(2,COLUMN())),OFFSET($BN$2,0,0,ROW()-1,60),ROW()-1,FALSE))</f>
        <v/>
      </c>
      <c r="BJ9" t="str">
        <f ca="1">IF(AND($B$185=1,LEN($BJ$197) * LEN($BJ$198)&gt;0),($BJ$197/$BJ$198)*100,HLOOKUP(INDIRECT(ADDRESS(2,COLUMN())),OFFSET($BN$2,0,0,ROW()-1,60),ROW()-1,FALSE))</f>
        <v/>
      </c>
      <c r="BK9" t="str">
        <f ca="1">IF(AND($B$185=1,LEN($BK$197) * LEN($BK$198)&gt;0),($BK$197/$BK$198)*100,HLOOKUP(INDIRECT(ADDRESS(2,COLUMN())),OFFSET($BN$2,0,0,ROW()-1,60),ROW()-1,FALSE))</f>
        <v/>
      </c>
      <c r="BL9" t="str">
        <f ca="1">IF(AND($B$185=1,LEN($BL$197) * LEN($BL$198)&gt;0),($BL$197/$BL$198)*100,HLOOKUP(INDIRECT(ADDRESS(2,COLUMN())),OFFSET($BN$2,0,0,ROW()-1,60),ROW()-1,FALSE))</f>
        <v/>
      </c>
      <c r="BM9" t="str">
        <f ca="1">IF(AND($B$185=1,LEN($BM$197) * LEN($BM$198)&gt;0),($BM$197/$BM$198)*100,HLOOKUP(INDIRECT(ADDRESS(2,COLUMN())),OFFSET($BN$2,0,0,ROW()-1,60),ROW()-1,FALSE))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  <c r="BT9" t="str">
        <f>""</f>
        <v/>
      </c>
      <c r="BU9" t="str">
        <f>""</f>
        <v/>
      </c>
      <c r="BV9" t="str">
        <f>""</f>
        <v/>
      </c>
      <c r="BW9" t="str">
        <f>""</f>
        <v/>
      </c>
      <c r="BX9" t="str">
        <f>""</f>
        <v/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  <c r="CH9" t="str">
        <f>""</f>
        <v/>
      </c>
      <c r="CI9" t="str">
        <f>""</f>
        <v/>
      </c>
      <c r="CJ9" t="str">
        <f>""</f>
        <v/>
      </c>
      <c r="CK9" t="str">
        <f>""</f>
        <v/>
      </c>
      <c r="CL9" t="str">
        <f>""</f>
        <v/>
      </c>
      <c r="CM9" t="str">
        <f>""</f>
        <v/>
      </c>
      <c r="CN9" t="str">
        <f>""</f>
        <v/>
      </c>
      <c r="CO9" t="str">
        <f>""</f>
        <v/>
      </c>
      <c r="CP9" t="str">
        <f>""</f>
        <v/>
      </c>
      <c r="CQ9" t="str">
        <f>""</f>
        <v/>
      </c>
      <c r="CR9" t="str">
        <f>""</f>
        <v/>
      </c>
      <c r="CS9" t="str">
        <f>""</f>
        <v/>
      </c>
      <c r="CT9" t="str">
        <f>""</f>
        <v/>
      </c>
      <c r="CU9" t="str">
        <f>""</f>
        <v/>
      </c>
      <c r="CV9" t="str">
        <f>""</f>
        <v/>
      </c>
      <c r="CW9" t="str">
        <f>""</f>
        <v/>
      </c>
      <c r="CX9" t="str">
        <f>""</f>
        <v/>
      </c>
      <c r="CY9" t="str">
        <f>""</f>
        <v/>
      </c>
      <c r="CZ9" t="str">
        <f>""</f>
        <v/>
      </c>
      <c r="DA9" t="str">
        <f>""</f>
        <v/>
      </c>
      <c r="DB9" t="str">
        <f>""</f>
        <v/>
      </c>
      <c r="DC9" t="str">
        <f>""</f>
        <v/>
      </c>
      <c r="DD9" t="str">
        <f>""</f>
        <v/>
      </c>
      <c r="DE9" t="str">
        <f>""</f>
        <v/>
      </c>
      <c r="DF9" t="str">
        <f>""</f>
        <v/>
      </c>
      <c r="DG9" t="str">
        <f>""</f>
        <v/>
      </c>
      <c r="DH9" t="str">
        <f>""</f>
        <v/>
      </c>
      <c r="DI9" t="str">
        <f>""</f>
        <v/>
      </c>
      <c r="DJ9" t="str">
        <f>""</f>
        <v/>
      </c>
      <c r="DK9" t="str">
        <f>""</f>
        <v/>
      </c>
      <c r="DL9" t="str">
        <f>""</f>
        <v/>
      </c>
      <c r="DM9" t="str">
        <f>""</f>
        <v/>
      </c>
      <c r="DN9" t="str">
        <f>""</f>
        <v/>
      </c>
      <c r="DO9" t="str">
        <f>""</f>
        <v/>
      </c>
      <c r="DP9" t="str">
        <f>""</f>
        <v/>
      </c>
      <c r="DQ9" t="str">
        <f>""</f>
        <v/>
      </c>
      <c r="DR9" t="str">
        <f>""</f>
        <v/>
      </c>
      <c r="DS9" t="str">
        <f>""</f>
        <v/>
      </c>
      <c r="DT9" t="str">
        <f>""</f>
        <v/>
      </c>
      <c r="DU9" t="str">
        <f>""</f>
        <v/>
      </c>
    </row>
    <row r="10" spans="1:125">
      <c r="A10" t="str">
        <f>"    Fifth Third Bancorp"</f>
        <v xml:space="preserve">    Fifth Third Bancorp</v>
      </c>
      <c r="B10" t="str">
        <f>"FITB US Equity"</f>
        <v>FITB US Equity</v>
      </c>
      <c r="E10" t="str">
        <f t="shared" si="0"/>
        <v>Expression</v>
      </c>
      <c r="F10" t="e">
        <f ca="1">IF(AND($B$185=1,LEN($F$199) * LEN($F$200)&gt;0),($F$199/$F$200)*100,HLOOKUP(INDIRECT(ADDRESS(2,COLUMN())),OFFSET($BN$2,0,0,ROW()-1,60),ROW()-1,FALSE))</f>
        <v>#NAME?</v>
      </c>
      <c r="G10">
        <f ca="1">IF(AND($B$185=1,LEN($G$199) * LEN($G$200)&gt;0),($G$199/$G$200)*100,HLOOKUP(INDIRECT(ADDRESS(2,COLUMN())),OFFSET($BN$2,0,0,ROW()-1,60),ROW()-1,FALSE))</f>
        <v>2.3452157599999999</v>
      </c>
      <c r="H10">
        <f ca="1">IF(AND($B$185=1,LEN($H$199) * LEN($H$200)&gt;0),($H$199/$H$200)*100,HLOOKUP(INDIRECT(ADDRESS(2,COLUMN())),OFFSET($BN$2,0,0,ROW()-1,60),ROW()-1,FALSE))</f>
        <v>2.4015369839999998</v>
      </c>
      <c r="I10">
        <f ca="1">IF(AND($B$185=1,LEN($I$199) * LEN($I$200)&gt;0),($I$199/$I$200)*100,HLOOKUP(INDIRECT(ADDRESS(2,COLUMN())),OFFSET($BN$2,0,0,ROW()-1,60),ROW()-1,FALSE))</f>
        <v>2.578796562</v>
      </c>
      <c r="J10">
        <f ca="1">IF(AND($B$185=1,LEN($J$199) * LEN($J$200)&gt;0),($J$199/$J$200)*100,HLOOKUP(INDIRECT(ADDRESS(2,COLUMN())),OFFSET($BN$2,0,0,ROW()-1,60),ROW()-1,FALSE))</f>
        <v>3.0555555559999998</v>
      </c>
      <c r="K10">
        <f ca="1">IF(AND($B$185=1,LEN($K$199) * LEN($K$200)&gt;0),($K$199/$K$200)*100,HLOOKUP(INDIRECT(ADDRESS(2,COLUMN())),OFFSET($BN$2,0,0,ROW()-1,60),ROW()-1,FALSE))</f>
        <v>2.6474686479999998</v>
      </c>
      <c r="L10">
        <f ca="1">IF(AND($B$185=1,LEN($L$199) * LEN($L$200)&gt;0),($L$199/$L$200)*100,HLOOKUP(INDIRECT(ADDRESS(2,COLUMN())),OFFSET($BN$2,0,0,ROW()-1,60),ROW()-1,FALSE))</f>
        <v>2.7027027029999999</v>
      </c>
      <c r="M10">
        <f ca="1">IF(AND($B$185=1,LEN($M$199) * LEN($M$200)&gt;0),($M$199/$M$200)*100,HLOOKUP(INDIRECT(ADDRESS(2,COLUMN())),OFFSET($BN$2,0,0,ROW()-1,60),ROW()-1,FALSE))</f>
        <v>3.1179394490000001</v>
      </c>
      <c r="N10">
        <f ca="1">IF(AND($B$185=1,LEN($N$199) * LEN($N$200)&gt;0),($N$199/$N$200)*100,HLOOKUP(INDIRECT(ADDRESS(2,COLUMN())),OFFSET($BN$2,0,0,ROW()-1,60),ROW()-1,FALSE))</f>
        <v>2.724913495</v>
      </c>
      <c r="O10">
        <f ca="1">IF(AND($B$185=1,LEN($O$199) * LEN($O$200)&gt;0),($O$199/$O$200)*100,HLOOKUP(INDIRECT(ADDRESS(2,COLUMN())),OFFSET($BN$2,0,0,ROW()-1,60),ROW()-1,FALSE))</f>
        <v>3.1797235019999999</v>
      </c>
      <c r="P10">
        <f ca="1">IF(AND($B$185=1,LEN($P$199) * LEN($P$200)&gt;0),($P$199/$P$200)*100,HLOOKUP(INDIRECT(ADDRESS(2,COLUMN())),OFFSET($BN$2,0,0,ROW()-1,60),ROW()-1,FALSE))</f>
        <v>1.538461538</v>
      </c>
      <c r="Q10">
        <f ca="1">IF(AND($B$185=1,LEN($Q$199) * LEN($Q$200)&gt;0),($Q$199/$Q$200)*100,HLOOKUP(INDIRECT(ADDRESS(2,COLUMN())),OFFSET($BN$2,0,0,ROW()-1,60),ROW()-1,FALSE))</f>
        <v>2.767429484</v>
      </c>
      <c r="R10">
        <f ca="1">IF(AND($B$185=1,LEN($R$199) * LEN($R$200)&gt;0),($R$199/$R$200)*100,HLOOKUP(INDIRECT(ADDRESS(2,COLUMN())),OFFSET($BN$2,0,0,ROW()-1,60),ROW()-1,FALSE))</f>
        <v>1.76056338</v>
      </c>
      <c r="S10">
        <f ca="1">IF(AND($B$185=1,LEN($S$199) * LEN($S$200)&gt;0),($S$199/$S$200)*100,HLOOKUP(INDIRECT(ADDRESS(2,COLUMN())),OFFSET($BN$2,0,0,ROW()-1,60),ROW()-1,FALSE))</f>
        <v>4.2469135800000002</v>
      </c>
      <c r="T10">
        <f ca="1">IF(AND($B$185=1,LEN($T$199) * LEN($T$200)&gt;0),($T$199/$T$200)*100,HLOOKUP(INDIRECT(ADDRESS(2,COLUMN())),OFFSET($BN$2,0,0,ROW()-1,60),ROW()-1,FALSE))</f>
        <v>3.2837352489999998</v>
      </c>
      <c r="U10">
        <f ca="1">IF(AND($B$185=1,LEN($U$199) * LEN($U$200)&gt;0),($U$199/$U$200)*100,HLOOKUP(INDIRECT(ADDRESS(2,COLUMN())),OFFSET($BN$2,0,0,ROW()-1,60),ROW()-1,FALSE))</f>
        <v>4.4155844159999997</v>
      </c>
      <c r="V10">
        <f ca="1">IF(AND($B$185=1,LEN($V$199) * LEN($V$200)&gt;0),($V$199/$V$200)*100,HLOOKUP(INDIRECT(ADDRESS(2,COLUMN())),OFFSET($BN$2,0,0,ROW()-1,60),ROW()-1,FALSE))</f>
        <v>1.269680041</v>
      </c>
      <c r="W10">
        <f ca="1">IF(AND($B$185=1,LEN($W$199) * LEN($W$200)&gt;0),($W$199/$W$200)*100,HLOOKUP(INDIRECT(ADDRESS(2,COLUMN())),OFFSET($BN$2,0,0,ROW()-1,60),ROW()-1,FALSE))</f>
        <v>4.0169133190000004</v>
      </c>
      <c r="X10">
        <f ca="1">IF(AND($B$185=1,LEN($X$199) * LEN($X$200)&gt;0),($X$199/$X$200)*100,HLOOKUP(INDIRECT(ADDRESS(2,COLUMN())),OFFSET($BN$2,0,0,ROW()-1,60),ROW()-1,FALSE))</f>
        <v>5.3513513509999999</v>
      </c>
      <c r="Y10">
        <f ca="1">IF(AND($B$185=1,LEN($Y$199) * LEN($Y$200)&gt;0),($Y$199/$Y$200)*100,HLOOKUP(INDIRECT(ADDRESS(2,COLUMN())),OFFSET($BN$2,0,0,ROW()-1,60),ROW()-1,FALSE))</f>
        <v>6.3157894739999998</v>
      </c>
      <c r="Z10">
        <f ca="1">IF(AND($B$185=1,LEN($Z$199) * LEN($Z$200)&gt;0),($Z$199/$Z$200)*100,HLOOKUP(INDIRECT(ADDRESS(2,COLUMN())),OFFSET($BN$2,0,0,ROW()-1,60),ROW()-1,FALSE))</f>
        <v>3.225806452</v>
      </c>
      <c r="AA10">
        <f ca="1">IF(AND($B$185=1,LEN($AA$199) * LEN($AA$200)&gt;0),($AA$199/$AA$200)*100,HLOOKUP(INDIRECT(ADDRESS(2,COLUMN())),OFFSET($BN$2,0,0,ROW()-1,60),ROW()-1,FALSE))</f>
        <v>4.7931382439999997</v>
      </c>
      <c r="AB10">
        <f ca="1">IF(AND($B$185=1,LEN($AB$199) * LEN($AB$200)&gt;0),($AB$199/$AB$200)*100,HLOOKUP(INDIRECT(ADDRESS(2,COLUMN())),OFFSET($BN$2,0,0,ROW()-1,60),ROW()-1,FALSE))</f>
        <v>3.3070866140000001</v>
      </c>
      <c r="AC10">
        <f ca="1">IF(AND($B$185=1,LEN($AC$199) * LEN($AC$200)&gt;0),($AC$199/$AC$200)*100,HLOOKUP(INDIRECT(ADDRESS(2,COLUMN())),OFFSET($BN$2,0,0,ROW()-1,60),ROW()-1,FALSE))</f>
        <v>2.5652771419999998</v>
      </c>
      <c r="AD10">
        <f ca="1">IF(AND($B$185=1,LEN($AD$199) * LEN($AD$200)&gt;0),($AD$199/$AD$200)*100,HLOOKUP(INDIRECT(ADDRESS(2,COLUMN())),OFFSET($BN$2,0,0,ROW()-1,60),ROW()-1,FALSE))</f>
        <v>3.2608695650000001</v>
      </c>
      <c r="AE10">
        <f ca="1">IF(AND($B$185=1,LEN($AE$199) * LEN($AE$200)&gt;0),($AE$199/$AE$200)*100,HLOOKUP(INDIRECT(ADDRESS(2,COLUMN())),OFFSET($BN$2,0,0,ROW()-1,60),ROW()-1,FALSE))</f>
        <v>3.0510585309999998</v>
      </c>
      <c r="AF10">
        <f ca="1">IF(AND($B$185=1,LEN($AF$199) * LEN($AF$200)&gt;0),($AF$199/$AF$200)*100,HLOOKUP(INDIRECT(ADDRESS(2,COLUMN())),OFFSET($BN$2,0,0,ROW()-1,60),ROW()-1,FALSE))</f>
        <v>3.0062393649999999</v>
      </c>
      <c r="AG10">
        <f ca="1">IF(AND($B$185=1,LEN($AG$199) * LEN($AG$200)&gt;0),($AG$199/$AG$200)*100,HLOOKUP(INDIRECT(ADDRESS(2,COLUMN())),OFFSET($BN$2,0,0,ROW()-1,60),ROW()-1,FALSE))</f>
        <v>2.9396325459999999</v>
      </c>
      <c r="AH10">
        <f ca="1">IF(AND($B$185=1,LEN($AH$199) * LEN($AH$200)&gt;0),($AH$199/$AH$200)*100,HLOOKUP(INDIRECT(ADDRESS(2,COLUMN())),OFFSET($BN$2,0,0,ROW()-1,60),ROW()-1,FALSE))</f>
        <v>3.5225048920000002</v>
      </c>
      <c r="AI10">
        <f ca="1">IF(AND($B$185=1,LEN($AI$199) * LEN($AI$200)&gt;0),($AI$199/$AI$200)*100,HLOOKUP(INDIRECT(ADDRESS(2,COLUMN())),OFFSET($BN$2,0,0,ROW()-1,60),ROW()-1,FALSE))</f>
        <v>2.4891347289999999</v>
      </c>
      <c r="AJ10">
        <f ca="1">IF(AND($B$185=1,LEN($AJ$199) * LEN($AJ$200)&gt;0),($AJ$199/$AJ$200)*100,HLOOKUP(INDIRECT(ADDRESS(2,COLUMN())),OFFSET($BN$2,0,0,ROW()-1,60),ROW()-1,FALSE))</f>
        <v>3.6593479709999999</v>
      </c>
      <c r="AK10">
        <f ca="1">IF(AND($B$185=1,LEN($AK$199) * LEN($AK$200)&gt;0),($AK$199/$AK$200)*100,HLOOKUP(INDIRECT(ADDRESS(2,COLUMN())),OFFSET($BN$2,0,0,ROW()-1,60),ROW()-1,FALSE))</f>
        <v>3.5714285710000002</v>
      </c>
      <c r="AL10">
        <f ca="1">IF(AND($B$185=1,LEN($AL$199) * LEN($AL$200)&gt;0),($AL$199/$AL$200)*100,HLOOKUP(INDIRECT(ADDRESS(2,COLUMN())),OFFSET($BN$2,0,0,ROW()-1,60),ROW()-1,FALSE))</f>
        <v>4.2678923180000004</v>
      </c>
      <c r="AM10">
        <f ca="1">IF(AND($B$185=1,LEN($AM$199) * LEN($AM$200)&gt;0),($AM$199/$AM$200)*100,HLOOKUP(INDIRECT(ADDRESS(2,COLUMN())),OFFSET($BN$2,0,0,ROW()-1,60),ROW()-1,FALSE))</f>
        <v>3.7779049800000002</v>
      </c>
      <c r="AN10">
        <f ca="1">IF(AND($B$185=1,LEN($AN$199) * LEN($AN$200)&gt;0),($AN$199/$AN$200)*100,HLOOKUP(INDIRECT(ADDRESS(2,COLUMN())),OFFSET($BN$2,0,0,ROW()-1,60),ROW()-1,FALSE))</f>
        <v>4.9966688870000002</v>
      </c>
      <c r="AO10">
        <f ca="1">IF(AND($B$185=1,LEN($AO$199) * LEN($AO$200)&gt;0),($AO$199/$AO$200)*100,HLOOKUP(INDIRECT(ADDRESS(2,COLUMN())),OFFSET($BN$2,0,0,ROW()-1,60),ROW()-1,FALSE))</f>
        <v>5.0649350650000002</v>
      </c>
      <c r="AP10">
        <f ca="1">IF(AND($B$185=1,LEN($AP$199) * LEN($AP$200)&gt;0),($AP$199/$AP$200)*100,HLOOKUP(INDIRECT(ADDRESS(2,COLUMN())),OFFSET($BN$2,0,0,ROW()-1,60),ROW()-1,FALSE))</f>
        <v>3.6944583130000002</v>
      </c>
      <c r="AQ10">
        <f ca="1">IF(AND($B$185=1,LEN($AQ$199) * LEN($AQ$200)&gt;0),($AQ$199/$AQ$200)*100,HLOOKUP(INDIRECT(ADDRESS(2,COLUMN())),OFFSET($BN$2,0,0,ROW()-1,60),ROW()-1,FALSE))</f>
        <v>4.3990086740000001</v>
      </c>
      <c r="AR10">
        <f ca="1">IF(AND($B$185=1,LEN($AR$199) * LEN($AR$200)&gt;0),($AR$199/$AR$200)*100,HLOOKUP(INDIRECT(ADDRESS(2,COLUMN())),OFFSET($BN$2,0,0,ROW()-1,60),ROW()-1,FALSE))</f>
        <v>8.1081081079999997</v>
      </c>
      <c r="AS10">
        <f ca="1">IF(AND($B$185=1,LEN($AS$199) * LEN($AS$200)&gt;0),($AS$199/$AS$200)*100,HLOOKUP(INDIRECT(ADDRESS(2,COLUMN())),OFFSET($BN$2,0,0,ROW()-1,60),ROW()-1,FALSE))</f>
        <v>5.8226134060000003</v>
      </c>
      <c r="AT10">
        <f ca="1">IF(AND($B$185=1,LEN($AT$199) * LEN($AT$200)&gt;0),($AT$199/$AT$200)*100,HLOOKUP(INDIRECT(ADDRESS(2,COLUMN())),OFFSET($BN$2,0,0,ROW()-1,60),ROW()-1,FALSE))</f>
        <v>3.9713541669999999</v>
      </c>
      <c r="AU10">
        <f ca="1">IF(AND($B$185=1,LEN($AU$199) * LEN($AU$200)&gt;0),($AU$199/$AU$200)*100,HLOOKUP(INDIRECT(ADDRESS(2,COLUMN())),OFFSET($BN$2,0,0,ROW()-1,60),ROW()-1,FALSE))</f>
        <v>4.2867182010000002</v>
      </c>
      <c r="AV10">
        <f ca="1">IF(AND($B$185=1,LEN($AV$199) * LEN($AV$200)&gt;0),($AV$199/$AV$200)*100,HLOOKUP(INDIRECT(ADDRESS(2,COLUMN())),OFFSET($BN$2,0,0,ROW()-1,60),ROW()-1,FALSE))</f>
        <v>4.7677261609999997</v>
      </c>
      <c r="AW10">
        <f ca="1">IF(AND($B$185=1,LEN($AW$199) * LEN($AW$200)&gt;0),($AW$199/$AW$200)*100,HLOOKUP(INDIRECT(ADDRESS(2,COLUMN())),OFFSET($BN$2,0,0,ROW()-1,60),ROW()-1,FALSE))</f>
        <v>7.4811256009999996</v>
      </c>
      <c r="AX10">
        <f ca="1">IF(AND($B$185=1,LEN($AX$199) * LEN($AX$200)&gt;0),($AX$199/$AX$200)*100,HLOOKUP(INDIRECT(ADDRESS(2,COLUMN())),OFFSET($BN$2,0,0,ROW()-1,60),ROW()-1,FALSE))</f>
        <v>7.8602620090000004</v>
      </c>
      <c r="AY10">
        <f ca="1">IF(AND($B$185=1,LEN($AY$199) * LEN($AY$200)&gt;0),($AY$199/$AY$200)*100,HLOOKUP(INDIRECT(ADDRESS(2,COLUMN())),OFFSET($BN$2,0,0,ROW()-1,60),ROW()-1,FALSE))</f>
        <v>7.4969021070000004</v>
      </c>
      <c r="AZ10">
        <f ca="1">IF(AND($B$185=1,LEN($AZ$199) * LEN($AZ$200)&gt;0),($AZ$199/$AZ$200)*100,HLOOKUP(INDIRECT(ADDRESS(2,COLUMN())),OFFSET($BN$2,0,0,ROW()-1,60),ROW()-1,FALSE))</f>
        <v>12.01030928</v>
      </c>
      <c r="BA10">
        <f ca="1">IF(AND($B$185=1,LEN($BA$199) * LEN($BA$200)&gt;0),($BA$199/$BA$200)*100,HLOOKUP(INDIRECT(ADDRESS(2,COLUMN())),OFFSET($BN$2,0,0,ROW()-1,60),ROW()-1,FALSE))</f>
        <v>13.488657269999999</v>
      </c>
      <c r="BB10">
        <f ca="1">IF(AND($B$185=1,LEN($BB$199) * LEN($BB$200)&gt;0),($BB$199/$BB$200)*100,HLOOKUP(INDIRECT(ADDRESS(2,COLUMN())),OFFSET($BN$2,0,0,ROW()-1,60),ROW()-1,FALSE))</f>
        <v>14.50252951</v>
      </c>
      <c r="BC10">
        <f ca="1">IF(AND($B$185=1,LEN($BC$199) * LEN($BC$200)&gt;0),($BC$199/$BC$200)*100,HLOOKUP(INDIRECT(ADDRESS(2,COLUMN())),OFFSET($BN$2,0,0,ROW()-1,60),ROW()-1,FALSE))</f>
        <v>12.706480300000001</v>
      </c>
      <c r="BD10">
        <f ca="1">IF(AND($B$185=1,LEN($BD$199) * LEN($BD$200)&gt;0),($BD$199/$BD$200)*100,HLOOKUP(INDIRECT(ADDRESS(2,COLUMN())),OFFSET($BN$2,0,0,ROW()-1,60),ROW()-1,FALSE))</f>
        <v>11.633820719999999</v>
      </c>
      <c r="BE10">
        <f ca="1">IF(AND($B$185=1,LEN($BE$199) * LEN($BE$200)&gt;0),($BE$199/$BE$200)*100,HLOOKUP(INDIRECT(ADDRESS(2,COLUMN())),OFFSET($BN$2,0,0,ROW()-1,60),ROW()-1,FALSE))</f>
        <v>12.237552490000001</v>
      </c>
      <c r="BF10">
        <f ca="1">IF(AND($B$185=1,LEN($BF$199) * LEN($BF$200)&gt;0),($BF$199/$BF$200)*100,HLOOKUP(INDIRECT(ADDRESS(2,COLUMN())),OFFSET($BN$2,0,0,ROW()-1,60),ROW()-1,FALSE))</f>
        <v>10.641200550000001</v>
      </c>
      <c r="BG10">
        <f ca="1">IF(AND($B$185=1,LEN($BG$199) * LEN($BG$200)&gt;0),($BG$199/$BG$200)*100,HLOOKUP(INDIRECT(ADDRESS(2,COLUMN())),OFFSET($BN$2,0,0,ROW()-1,60),ROW()-1,FALSE))</f>
        <v>11.388355730000001</v>
      </c>
      <c r="BH10">
        <f ca="1">IF(AND($B$185=1,LEN($BH$199) * LEN($BH$200)&gt;0),($BH$199/$BH$200)*100,HLOOKUP(INDIRECT(ADDRESS(2,COLUMN())),OFFSET($BN$2,0,0,ROW()-1,60),ROW()-1,FALSE))</f>
        <v>10.65789474</v>
      </c>
      <c r="BI10">
        <f ca="1">IF(AND($B$185=1,LEN($BI$199) * LEN($BI$200)&gt;0),($BI$199/$BI$200)*100,HLOOKUP(INDIRECT(ADDRESS(2,COLUMN())),OFFSET($BN$2,0,0,ROW()-1,60),ROW()-1,FALSE))</f>
        <v>6.9719753930000001</v>
      </c>
      <c r="BJ10">
        <f ca="1">IF(AND($B$185=1,LEN($BJ$199) * LEN($BJ$200)&gt;0),($BJ$199/$BJ$200)*100,HLOOKUP(INDIRECT(ADDRESS(2,COLUMN())),OFFSET($BN$2,0,0,ROW()-1,60),ROW()-1,FALSE))</f>
        <v>9.4904458599999995</v>
      </c>
      <c r="BK10">
        <f ca="1">IF(AND($B$185=1,LEN($BK$199) * LEN($BK$200)&gt;0),($BK$199/$BK$200)*100,HLOOKUP(INDIRECT(ADDRESS(2,COLUMN())),OFFSET($BN$2,0,0,ROW()-1,60),ROW()-1,FALSE))</f>
        <v>13.341000579999999</v>
      </c>
      <c r="BL10">
        <f ca="1">IF(AND($B$185=1,LEN($BL$199) * LEN($BL$200)&gt;0),($BL$199/$BL$200)*100,HLOOKUP(INDIRECT(ADDRESS(2,COLUMN())),OFFSET($BN$2,0,0,ROW()-1,60),ROW()-1,FALSE))</f>
        <v>7.5898801599999999</v>
      </c>
      <c r="BM10" t="str">
        <f ca="1">IF(AND($B$185=1,LEN($BM$199) * LEN($BM$200)&gt;0),($BM$199/$BM$200)*100,HLOOKUP(INDIRECT(ADDRESS(2,COLUMN())),OFFSET($BN$2,0,0,ROW()-1,60),ROW()-1,FALSE))</f>
        <v/>
      </c>
      <c r="BN10">
        <f>2.627939142</f>
        <v>2.6279391419999998</v>
      </c>
      <c r="BO10">
        <f>2.34521576</f>
        <v>2.3452157599999999</v>
      </c>
      <c r="BP10">
        <f>2.401536984</f>
        <v>2.4015369839999998</v>
      </c>
      <c r="BQ10">
        <f>2.578796562</f>
        <v>2.578796562</v>
      </c>
      <c r="BR10">
        <f>3.055555556</f>
        <v>3.0555555559999998</v>
      </c>
      <c r="BS10">
        <f>2.647468648</f>
        <v>2.6474686479999998</v>
      </c>
      <c r="BT10">
        <f>2.702702703</f>
        <v>2.7027027029999999</v>
      </c>
      <c r="BU10">
        <f>3.117939449</f>
        <v>3.1179394490000001</v>
      </c>
      <c r="BV10">
        <f>2.724913495</f>
        <v>2.724913495</v>
      </c>
      <c r="BW10">
        <f>3.179723502</f>
        <v>3.1797235019999999</v>
      </c>
      <c r="BX10">
        <f>1.538461538</f>
        <v>1.538461538</v>
      </c>
      <c r="BY10">
        <f>2.767429484</f>
        <v>2.767429484</v>
      </c>
      <c r="BZ10">
        <f>1.76056338</f>
        <v>1.76056338</v>
      </c>
      <c r="CA10">
        <f>4.24691358</f>
        <v>4.2469135800000002</v>
      </c>
      <c r="CB10">
        <f>3.283735249</f>
        <v>3.2837352489999998</v>
      </c>
      <c r="CC10">
        <f>4.415584416</f>
        <v>4.4155844159999997</v>
      </c>
      <c r="CD10">
        <f>1.269680041</f>
        <v>1.269680041</v>
      </c>
      <c r="CE10">
        <f>4.016913319</f>
        <v>4.0169133190000004</v>
      </c>
      <c r="CF10">
        <f>5.351351351</f>
        <v>5.3513513509999999</v>
      </c>
      <c r="CG10">
        <f>6.315789474</f>
        <v>6.3157894739999998</v>
      </c>
      <c r="CH10">
        <f>3.225806452</f>
        <v>3.225806452</v>
      </c>
      <c r="CI10">
        <f>4.793138244</f>
        <v>4.7931382439999997</v>
      </c>
      <c r="CJ10">
        <f>3.307086614</f>
        <v>3.3070866140000001</v>
      </c>
      <c r="CK10">
        <f>2.565277142</f>
        <v>2.5652771419999998</v>
      </c>
      <c r="CL10">
        <f>3.260869565</f>
        <v>3.2608695650000001</v>
      </c>
      <c r="CM10">
        <f>3.051058531</f>
        <v>3.0510585309999998</v>
      </c>
      <c r="CN10">
        <f>3.006239365</f>
        <v>3.0062393649999999</v>
      </c>
      <c r="CO10">
        <f>2.939632546</f>
        <v>2.9396325459999999</v>
      </c>
      <c r="CP10">
        <f>3.522504892</f>
        <v>3.5225048920000002</v>
      </c>
      <c r="CQ10">
        <f>2.489134729</f>
        <v>2.4891347289999999</v>
      </c>
      <c r="CR10">
        <f>3.659347971</f>
        <v>3.6593479709999999</v>
      </c>
      <c r="CS10">
        <f>3.571428571</f>
        <v>3.5714285710000002</v>
      </c>
      <c r="CT10">
        <f>4.267892318</f>
        <v>4.2678923180000004</v>
      </c>
      <c r="CU10">
        <f>3.77790498</f>
        <v>3.7779049800000002</v>
      </c>
      <c r="CV10">
        <f>4.996668887</f>
        <v>4.9966688870000002</v>
      </c>
      <c r="CW10">
        <f>5.064935065</f>
        <v>5.0649350650000002</v>
      </c>
      <c r="CX10">
        <f>3.694458313</f>
        <v>3.6944583130000002</v>
      </c>
      <c r="CY10">
        <f>4.399008674</f>
        <v>4.3990086740000001</v>
      </c>
      <c r="CZ10">
        <f>8.108108108</f>
        <v>8.1081081079999997</v>
      </c>
      <c r="DA10">
        <f>5.822613406</f>
        <v>5.8226134060000003</v>
      </c>
      <c r="DB10">
        <f>3.971354167</f>
        <v>3.9713541669999999</v>
      </c>
      <c r="DC10">
        <f>4.286718201</f>
        <v>4.2867182010000002</v>
      </c>
      <c r="DD10">
        <f>4.767726161</f>
        <v>4.7677261609999997</v>
      </c>
      <c r="DE10">
        <f>7.481125601</f>
        <v>7.4811256009999996</v>
      </c>
      <c r="DF10">
        <f>7.860262009</f>
        <v>7.8602620090000004</v>
      </c>
      <c r="DG10">
        <f>7.496902107</f>
        <v>7.4969021070000004</v>
      </c>
      <c r="DH10">
        <f>12.01030928</f>
        <v>12.01030928</v>
      </c>
      <c r="DI10">
        <f>13.48865727</f>
        <v>13.488657269999999</v>
      </c>
      <c r="DJ10">
        <f>14.50252951</f>
        <v>14.50252951</v>
      </c>
      <c r="DK10">
        <f>12.7064803</f>
        <v>12.706480300000001</v>
      </c>
      <c r="DL10">
        <f>11.63382072</f>
        <v>11.633820719999999</v>
      </c>
      <c r="DM10">
        <f>12.23755249</f>
        <v>12.237552490000001</v>
      </c>
      <c r="DN10">
        <f>10.64120055</f>
        <v>10.641200550000001</v>
      </c>
      <c r="DO10">
        <f>11.38835573</f>
        <v>11.388355730000001</v>
      </c>
      <c r="DP10">
        <f>10.65789474</f>
        <v>10.65789474</v>
      </c>
      <c r="DQ10">
        <f>6.971975393</f>
        <v>6.9719753930000001</v>
      </c>
      <c r="DR10">
        <f>9.49044586</f>
        <v>9.4904458599999995</v>
      </c>
      <c r="DS10">
        <f>13.34100058</f>
        <v>13.341000579999999</v>
      </c>
      <c r="DT10">
        <f>7.58988016</f>
        <v>7.5898801599999999</v>
      </c>
      <c r="DU10" t="str">
        <f>""</f>
        <v/>
      </c>
    </row>
    <row r="11" spans="1:125">
      <c r="A11" t="str">
        <f>"    First Citizens BancShares Inc/"</f>
        <v xml:space="preserve">    First Citizens BancShares Inc/</v>
      </c>
      <c r="B11" t="str">
        <f>"FCNCA US Equity"</f>
        <v>FCNCA US Equity</v>
      </c>
      <c r="E11" t="str">
        <f t="shared" si="0"/>
        <v>Expression</v>
      </c>
      <c r="F11" t="e">
        <f ca="1">IF(AND($B$185=1,LEN($F$201) * LEN($F$202)&gt;0),($F$201/$F$202)*100,HLOOKUP(INDIRECT(ADDRESS(2,COLUMN())),OFFSET($BN$2,0,0,ROW()-1,60),ROW()-1,FALSE))</f>
        <v>#NAME?</v>
      </c>
      <c r="G11" t="str">
        <f ca="1">IF(AND($B$185=1,LEN($G$201) * LEN($G$202)&gt;0),($G$201/$G$202)*100,HLOOKUP(INDIRECT(ADDRESS(2,COLUMN())),OFFSET($BN$2,0,0,ROW()-1,60),ROW()-1,FALSE))</f>
        <v/>
      </c>
      <c r="H11" t="str">
        <f ca="1">IF(AND($B$185=1,LEN($H$201) * LEN($H$202)&gt;0),($H$201/$H$202)*100,HLOOKUP(INDIRECT(ADDRESS(2,COLUMN())),OFFSET($BN$2,0,0,ROW()-1,60),ROW()-1,FALSE))</f>
        <v/>
      </c>
      <c r="I11" t="str">
        <f ca="1">IF(AND($B$185=1,LEN($I$201) * LEN($I$202)&gt;0),($I$201/$I$202)*100,HLOOKUP(INDIRECT(ADDRESS(2,COLUMN())),OFFSET($BN$2,0,0,ROW()-1,60),ROW()-1,FALSE))</f>
        <v/>
      </c>
      <c r="J11" t="str">
        <f ca="1">IF(AND($B$185=1,LEN($J$201) * LEN($J$202)&gt;0),($J$201/$J$202)*100,HLOOKUP(INDIRECT(ADDRESS(2,COLUMN())),OFFSET($BN$2,0,0,ROW()-1,60),ROW()-1,FALSE))</f>
        <v/>
      </c>
      <c r="K11" t="str">
        <f ca="1">IF(AND($B$185=1,LEN($K$201) * LEN($K$202)&gt;0),($K$201/$K$202)*100,HLOOKUP(INDIRECT(ADDRESS(2,COLUMN())),OFFSET($BN$2,0,0,ROW()-1,60),ROW()-1,FALSE))</f>
        <v/>
      </c>
      <c r="L11" t="str">
        <f ca="1">IF(AND($B$185=1,LEN($L$201) * LEN($L$202)&gt;0),($L$201/$L$202)*100,HLOOKUP(INDIRECT(ADDRESS(2,COLUMN())),OFFSET($BN$2,0,0,ROW()-1,60),ROW()-1,FALSE))</f>
        <v/>
      </c>
      <c r="M11" t="str">
        <f ca="1">IF(AND($B$185=1,LEN($M$201) * LEN($M$202)&gt;0),($M$201/$M$202)*100,HLOOKUP(INDIRECT(ADDRESS(2,COLUMN())),OFFSET($BN$2,0,0,ROW()-1,60),ROW()-1,FALSE))</f>
        <v/>
      </c>
      <c r="N11" t="str">
        <f ca="1">IF(AND($B$185=1,LEN($N$201) * LEN($N$202)&gt;0),($N$201/$N$202)*100,HLOOKUP(INDIRECT(ADDRESS(2,COLUMN())),OFFSET($BN$2,0,0,ROW()-1,60),ROW()-1,FALSE))</f>
        <v/>
      </c>
      <c r="O11" t="str">
        <f ca="1">IF(AND($B$185=1,LEN($O$201) * LEN($O$202)&gt;0),($O$201/$O$202)*100,HLOOKUP(INDIRECT(ADDRESS(2,COLUMN())),OFFSET($BN$2,0,0,ROW()-1,60),ROW()-1,FALSE))</f>
        <v/>
      </c>
      <c r="P11" t="str">
        <f ca="1">IF(AND($B$185=1,LEN($P$201) * LEN($P$202)&gt;0),($P$201/$P$202)*100,HLOOKUP(INDIRECT(ADDRESS(2,COLUMN())),OFFSET($BN$2,0,0,ROW()-1,60),ROW()-1,FALSE))</f>
        <v/>
      </c>
      <c r="Q11" t="str">
        <f ca="1">IF(AND($B$185=1,LEN($Q$201) * LEN($Q$202)&gt;0),($Q$201/$Q$202)*100,HLOOKUP(INDIRECT(ADDRESS(2,COLUMN())),OFFSET($BN$2,0,0,ROW()-1,60),ROW()-1,FALSE))</f>
        <v/>
      </c>
      <c r="R11" t="str">
        <f ca="1">IF(AND($B$185=1,LEN($R$201) * LEN($R$202)&gt;0),($R$201/$R$202)*100,HLOOKUP(INDIRECT(ADDRESS(2,COLUMN())),OFFSET($BN$2,0,0,ROW()-1,60),ROW()-1,FALSE))</f>
        <v/>
      </c>
      <c r="S11" t="str">
        <f ca="1">IF(AND($B$185=1,LEN($S$201) * LEN($S$202)&gt;0),($S$201/$S$202)*100,HLOOKUP(INDIRECT(ADDRESS(2,COLUMN())),OFFSET($BN$2,0,0,ROW()-1,60),ROW()-1,FALSE))</f>
        <v/>
      </c>
      <c r="T11" t="str">
        <f ca="1">IF(AND($B$185=1,LEN($T$201) * LEN($T$202)&gt;0),($T$201/$T$202)*100,HLOOKUP(INDIRECT(ADDRESS(2,COLUMN())),OFFSET($BN$2,0,0,ROW()-1,60),ROW()-1,FALSE))</f>
        <v/>
      </c>
      <c r="U11" t="str">
        <f ca="1">IF(AND($B$185=1,LEN($U$201) * LEN($U$202)&gt;0),($U$201/$U$202)*100,HLOOKUP(INDIRECT(ADDRESS(2,COLUMN())),OFFSET($BN$2,0,0,ROW()-1,60),ROW()-1,FALSE))</f>
        <v/>
      </c>
      <c r="V11" t="str">
        <f ca="1">IF(AND($B$185=1,LEN($V$201) * LEN($V$202)&gt;0),($V$201/$V$202)*100,HLOOKUP(INDIRECT(ADDRESS(2,COLUMN())),OFFSET($BN$2,0,0,ROW()-1,60),ROW()-1,FALSE))</f>
        <v/>
      </c>
      <c r="W11" t="str">
        <f ca="1">IF(AND($B$185=1,LEN($W$201) * LEN($W$202)&gt;0),($W$201/$W$202)*100,HLOOKUP(INDIRECT(ADDRESS(2,COLUMN())),OFFSET($BN$2,0,0,ROW()-1,60),ROW()-1,FALSE))</f>
        <v/>
      </c>
      <c r="X11" t="str">
        <f ca="1">IF(AND($B$185=1,LEN($X$201) * LEN($X$202)&gt;0),($X$201/$X$202)*100,HLOOKUP(INDIRECT(ADDRESS(2,COLUMN())),OFFSET($BN$2,0,0,ROW()-1,60),ROW()-1,FALSE))</f>
        <v/>
      </c>
      <c r="Y11" t="str">
        <f ca="1">IF(AND($B$185=1,LEN($Y$201) * LEN($Y$202)&gt;0),($Y$201/$Y$202)*100,HLOOKUP(INDIRECT(ADDRESS(2,COLUMN())),OFFSET($BN$2,0,0,ROW()-1,60),ROW()-1,FALSE))</f>
        <v/>
      </c>
      <c r="Z11" t="str">
        <f ca="1">IF(AND($B$185=1,LEN($Z$201) * LEN($Z$202)&gt;0),($Z$201/$Z$202)*100,HLOOKUP(INDIRECT(ADDRESS(2,COLUMN())),OFFSET($BN$2,0,0,ROW()-1,60),ROW()-1,FALSE))</f>
        <v/>
      </c>
      <c r="AA11" t="str">
        <f ca="1">IF(AND($B$185=1,LEN($AA$201) * LEN($AA$202)&gt;0),($AA$201/$AA$202)*100,HLOOKUP(INDIRECT(ADDRESS(2,COLUMN())),OFFSET($BN$2,0,0,ROW()-1,60),ROW()-1,FALSE))</f>
        <v/>
      </c>
      <c r="AB11" t="str">
        <f ca="1">IF(AND($B$185=1,LEN($AB$201) * LEN($AB$202)&gt;0),($AB$201/$AB$202)*100,HLOOKUP(INDIRECT(ADDRESS(2,COLUMN())),OFFSET($BN$2,0,0,ROW()-1,60),ROW()-1,FALSE))</f>
        <v/>
      </c>
      <c r="AC11" t="str">
        <f ca="1">IF(AND($B$185=1,LEN($AC$201) * LEN($AC$202)&gt;0),($AC$201/$AC$202)*100,HLOOKUP(INDIRECT(ADDRESS(2,COLUMN())),OFFSET($BN$2,0,0,ROW()-1,60),ROW()-1,FALSE))</f>
        <v/>
      </c>
      <c r="AD11" t="str">
        <f ca="1">IF(AND($B$185=1,LEN($AD$201) * LEN($AD$202)&gt;0),($AD$201/$AD$202)*100,HLOOKUP(INDIRECT(ADDRESS(2,COLUMN())),OFFSET($BN$2,0,0,ROW()-1,60),ROW()-1,FALSE))</f>
        <v/>
      </c>
      <c r="AE11" t="str">
        <f ca="1">IF(AND($B$185=1,LEN($AE$201) * LEN($AE$202)&gt;0),($AE$201/$AE$202)*100,HLOOKUP(INDIRECT(ADDRESS(2,COLUMN())),OFFSET($BN$2,0,0,ROW()-1,60),ROW()-1,FALSE))</f>
        <v/>
      </c>
      <c r="AF11" t="str">
        <f ca="1">IF(AND($B$185=1,LEN($AF$201) * LEN($AF$202)&gt;0),($AF$201/$AF$202)*100,HLOOKUP(INDIRECT(ADDRESS(2,COLUMN())),OFFSET($BN$2,0,0,ROW()-1,60),ROW()-1,FALSE))</f>
        <v/>
      </c>
      <c r="AG11" t="str">
        <f ca="1">IF(AND($B$185=1,LEN($AG$201) * LEN($AG$202)&gt;0),($AG$201/$AG$202)*100,HLOOKUP(INDIRECT(ADDRESS(2,COLUMN())),OFFSET($BN$2,0,0,ROW()-1,60),ROW()-1,FALSE))</f>
        <v/>
      </c>
      <c r="AH11" t="str">
        <f ca="1">IF(AND($B$185=1,LEN($AH$201) * LEN($AH$202)&gt;0),($AH$201/$AH$202)*100,HLOOKUP(INDIRECT(ADDRESS(2,COLUMN())),OFFSET($BN$2,0,0,ROW()-1,60),ROW()-1,FALSE))</f>
        <v/>
      </c>
      <c r="AI11" t="str">
        <f ca="1">IF(AND($B$185=1,LEN($AI$201) * LEN($AI$202)&gt;0),($AI$201/$AI$202)*100,HLOOKUP(INDIRECT(ADDRESS(2,COLUMN())),OFFSET($BN$2,0,0,ROW()-1,60),ROW()-1,FALSE))</f>
        <v/>
      </c>
      <c r="AJ11" t="str">
        <f ca="1">IF(AND($B$185=1,LEN($AJ$201) * LEN($AJ$202)&gt;0),($AJ$201/$AJ$202)*100,HLOOKUP(INDIRECT(ADDRESS(2,COLUMN())),OFFSET($BN$2,0,0,ROW()-1,60),ROW()-1,FALSE))</f>
        <v/>
      </c>
      <c r="AK11" t="str">
        <f ca="1">IF(AND($B$185=1,LEN($AK$201) * LEN($AK$202)&gt;0),($AK$201/$AK$202)*100,HLOOKUP(INDIRECT(ADDRESS(2,COLUMN())),OFFSET($BN$2,0,0,ROW()-1,60),ROW()-1,FALSE))</f>
        <v/>
      </c>
      <c r="AL11" t="str">
        <f ca="1">IF(AND($B$185=1,LEN($AL$201) * LEN($AL$202)&gt;0),($AL$201/$AL$202)*100,HLOOKUP(INDIRECT(ADDRESS(2,COLUMN())),OFFSET($BN$2,0,0,ROW()-1,60),ROW()-1,FALSE))</f>
        <v/>
      </c>
      <c r="AM11" t="str">
        <f ca="1">IF(AND($B$185=1,LEN($AM$201) * LEN($AM$202)&gt;0),($AM$201/$AM$202)*100,HLOOKUP(INDIRECT(ADDRESS(2,COLUMN())),OFFSET($BN$2,0,0,ROW()-1,60),ROW()-1,FALSE))</f>
        <v/>
      </c>
      <c r="AN11" t="str">
        <f ca="1">IF(AND($B$185=1,LEN($AN$201) * LEN($AN$202)&gt;0),($AN$201/$AN$202)*100,HLOOKUP(INDIRECT(ADDRESS(2,COLUMN())),OFFSET($BN$2,0,0,ROW()-1,60),ROW()-1,FALSE))</f>
        <v/>
      </c>
      <c r="AO11" t="str">
        <f ca="1">IF(AND($B$185=1,LEN($AO$201) * LEN($AO$202)&gt;0),($AO$201/$AO$202)*100,HLOOKUP(INDIRECT(ADDRESS(2,COLUMN())),OFFSET($BN$2,0,0,ROW()-1,60),ROW()-1,FALSE))</f>
        <v/>
      </c>
      <c r="AP11" t="str">
        <f ca="1">IF(AND($B$185=1,LEN($AP$201) * LEN($AP$202)&gt;0),($AP$201/$AP$202)*100,HLOOKUP(INDIRECT(ADDRESS(2,COLUMN())),OFFSET($BN$2,0,0,ROW()-1,60),ROW()-1,FALSE))</f>
        <v/>
      </c>
      <c r="AQ11" t="str">
        <f ca="1">IF(AND($B$185=1,LEN($AQ$201) * LEN($AQ$202)&gt;0),($AQ$201/$AQ$202)*100,HLOOKUP(INDIRECT(ADDRESS(2,COLUMN())),OFFSET($BN$2,0,0,ROW()-1,60),ROW()-1,FALSE))</f>
        <v/>
      </c>
      <c r="AR11" t="str">
        <f ca="1">IF(AND($B$185=1,LEN($AR$201) * LEN($AR$202)&gt;0),($AR$201/$AR$202)*100,HLOOKUP(INDIRECT(ADDRESS(2,COLUMN())),OFFSET($BN$2,0,0,ROW()-1,60),ROW()-1,FALSE))</f>
        <v/>
      </c>
      <c r="AS11" t="str">
        <f ca="1">IF(AND($B$185=1,LEN($AS$201) * LEN($AS$202)&gt;0),($AS$201/$AS$202)*100,HLOOKUP(INDIRECT(ADDRESS(2,COLUMN())),OFFSET($BN$2,0,0,ROW()-1,60),ROW()-1,FALSE))</f>
        <v/>
      </c>
      <c r="AT11" t="str">
        <f ca="1">IF(AND($B$185=1,LEN($AT$201) * LEN($AT$202)&gt;0),($AT$201/$AT$202)*100,HLOOKUP(INDIRECT(ADDRESS(2,COLUMN())),OFFSET($BN$2,0,0,ROW()-1,60),ROW()-1,FALSE))</f>
        <v/>
      </c>
      <c r="AU11" t="str">
        <f ca="1">IF(AND($B$185=1,LEN($AU$201) * LEN($AU$202)&gt;0),($AU$201/$AU$202)*100,HLOOKUP(INDIRECT(ADDRESS(2,COLUMN())),OFFSET($BN$2,0,0,ROW()-1,60),ROW()-1,FALSE))</f>
        <v/>
      </c>
      <c r="AV11" t="str">
        <f ca="1">IF(AND($B$185=1,LEN($AV$201) * LEN($AV$202)&gt;0),($AV$201/$AV$202)*100,HLOOKUP(INDIRECT(ADDRESS(2,COLUMN())),OFFSET($BN$2,0,0,ROW()-1,60),ROW()-1,FALSE))</f>
        <v/>
      </c>
      <c r="AW11" t="str">
        <f ca="1">IF(AND($B$185=1,LEN($AW$201) * LEN($AW$202)&gt;0),($AW$201/$AW$202)*100,HLOOKUP(INDIRECT(ADDRESS(2,COLUMN())),OFFSET($BN$2,0,0,ROW()-1,60),ROW()-1,FALSE))</f>
        <v/>
      </c>
      <c r="AX11" t="str">
        <f ca="1">IF(AND($B$185=1,LEN($AX$201) * LEN($AX$202)&gt;0),($AX$201/$AX$202)*100,HLOOKUP(INDIRECT(ADDRESS(2,COLUMN())),OFFSET($BN$2,0,0,ROW()-1,60),ROW()-1,FALSE))</f>
        <v/>
      </c>
      <c r="AY11" t="str">
        <f ca="1">IF(AND($B$185=1,LEN($AY$201) * LEN($AY$202)&gt;0),($AY$201/$AY$202)*100,HLOOKUP(INDIRECT(ADDRESS(2,COLUMN())),OFFSET($BN$2,0,0,ROW()-1,60),ROW()-1,FALSE))</f>
        <v/>
      </c>
      <c r="AZ11" t="str">
        <f ca="1">IF(AND($B$185=1,LEN($AZ$201) * LEN($AZ$202)&gt;0),($AZ$201/$AZ$202)*100,HLOOKUP(INDIRECT(ADDRESS(2,COLUMN())),OFFSET($BN$2,0,0,ROW()-1,60),ROW()-1,FALSE))</f>
        <v/>
      </c>
      <c r="BA11" t="str">
        <f ca="1">IF(AND($B$185=1,LEN($BA$201) * LEN($BA$202)&gt;0),($BA$201/$BA$202)*100,HLOOKUP(INDIRECT(ADDRESS(2,COLUMN())),OFFSET($BN$2,0,0,ROW()-1,60),ROW()-1,FALSE))</f>
        <v/>
      </c>
      <c r="BB11" t="str">
        <f ca="1">IF(AND($B$185=1,LEN($BB$201) * LEN($BB$202)&gt;0),($BB$201/$BB$202)*100,HLOOKUP(INDIRECT(ADDRESS(2,COLUMN())),OFFSET($BN$2,0,0,ROW()-1,60),ROW()-1,FALSE))</f>
        <v/>
      </c>
      <c r="BC11" t="str">
        <f ca="1">IF(AND($B$185=1,LEN($BC$201) * LEN($BC$202)&gt;0),($BC$201/$BC$202)*100,HLOOKUP(INDIRECT(ADDRESS(2,COLUMN())),OFFSET($BN$2,0,0,ROW()-1,60),ROW()-1,FALSE))</f>
        <v/>
      </c>
      <c r="BD11" t="str">
        <f ca="1">IF(AND($B$185=1,LEN($BD$201) * LEN($BD$202)&gt;0),($BD$201/$BD$202)*100,HLOOKUP(INDIRECT(ADDRESS(2,COLUMN())),OFFSET($BN$2,0,0,ROW()-1,60),ROW()-1,FALSE))</f>
        <v/>
      </c>
      <c r="BE11" t="str">
        <f ca="1">IF(AND($B$185=1,LEN($BE$201) * LEN($BE$202)&gt;0),($BE$201/$BE$202)*100,HLOOKUP(INDIRECT(ADDRESS(2,COLUMN())),OFFSET($BN$2,0,0,ROW()-1,60),ROW()-1,FALSE))</f>
        <v/>
      </c>
      <c r="BF11" t="str">
        <f ca="1">IF(AND($B$185=1,LEN($BF$201) * LEN($BF$202)&gt;0),($BF$201/$BF$202)*100,HLOOKUP(INDIRECT(ADDRESS(2,COLUMN())),OFFSET($BN$2,0,0,ROW()-1,60),ROW()-1,FALSE))</f>
        <v/>
      </c>
      <c r="BG11" t="str">
        <f ca="1">IF(AND($B$185=1,LEN($BG$201) * LEN($BG$202)&gt;0),($BG$201/$BG$202)*100,HLOOKUP(INDIRECT(ADDRESS(2,COLUMN())),OFFSET($BN$2,0,0,ROW()-1,60),ROW()-1,FALSE))</f>
        <v/>
      </c>
      <c r="BH11" t="str">
        <f ca="1">IF(AND($B$185=1,LEN($BH$201) * LEN($BH$202)&gt;0),($BH$201/$BH$202)*100,HLOOKUP(INDIRECT(ADDRESS(2,COLUMN())),OFFSET($BN$2,0,0,ROW()-1,60),ROW()-1,FALSE))</f>
        <v/>
      </c>
      <c r="BI11" t="str">
        <f ca="1">IF(AND($B$185=1,LEN($BI$201) * LEN($BI$202)&gt;0),($BI$201/$BI$202)*100,HLOOKUP(INDIRECT(ADDRESS(2,COLUMN())),OFFSET($BN$2,0,0,ROW()-1,60),ROW()-1,FALSE))</f>
        <v/>
      </c>
      <c r="BJ11" t="str">
        <f ca="1">IF(AND($B$185=1,LEN($BJ$201) * LEN($BJ$202)&gt;0),($BJ$201/$BJ$202)*100,HLOOKUP(INDIRECT(ADDRESS(2,COLUMN())),OFFSET($BN$2,0,0,ROW()-1,60),ROW()-1,FALSE))</f>
        <v/>
      </c>
      <c r="BK11" t="str">
        <f ca="1">IF(AND($B$185=1,LEN($BK$201) * LEN($BK$202)&gt;0),($BK$201/$BK$202)*100,HLOOKUP(INDIRECT(ADDRESS(2,COLUMN())),OFFSET($BN$2,0,0,ROW()-1,60),ROW()-1,FALSE))</f>
        <v/>
      </c>
      <c r="BL11" t="str">
        <f ca="1">IF(AND($B$185=1,LEN($BL$201) * LEN($BL$202)&gt;0),($BL$201/$BL$202)*100,HLOOKUP(INDIRECT(ADDRESS(2,COLUMN())),OFFSET($BN$2,0,0,ROW()-1,60),ROW()-1,FALSE))</f>
        <v/>
      </c>
      <c r="BM11" t="str">
        <f ca="1">IF(AND($B$185=1,LEN($BM$201) * LEN($BM$202)&gt;0),($BM$201/$BM$202)*100,HLOOKUP(INDIRECT(ADDRESS(2,COLUMN())),OFFSET($BN$2,0,0,ROW()-1,60),ROW()-1,FALSE))</f>
        <v/>
      </c>
      <c r="BN11" t="str">
        <f>""</f>
        <v/>
      </c>
      <c r="BO11" t="str">
        <f>""</f>
        <v/>
      </c>
      <c r="BP11" t="str">
        <f>""</f>
        <v/>
      </c>
      <c r="BQ11" t="str">
        <f>""</f>
        <v/>
      </c>
      <c r="BR11" t="str">
        <f>""</f>
        <v/>
      </c>
      <c r="BS11" t="str">
        <f>""</f>
        <v/>
      </c>
      <c r="BT11" t="str">
        <f>""</f>
        <v/>
      </c>
      <c r="BU11" t="str">
        <f>""</f>
        <v/>
      </c>
      <c r="BV11" t="str">
        <f>""</f>
        <v/>
      </c>
      <c r="BW11" t="str">
        <f>""</f>
        <v/>
      </c>
      <c r="BX11" t="str">
        <f>""</f>
        <v/>
      </c>
      <c r="BY11" t="str">
        <f>""</f>
        <v/>
      </c>
      <c r="BZ11" t="str">
        <f>""</f>
        <v/>
      </c>
      <c r="CA11" t="str">
        <f>""</f>
        <v/>
      </c>
      <c r="CB11" t="str">
        <f>""</f>
        <v/>
      </c>
      <c r="CC11" t="str">
        <f>""</f>
        <v/>
      </c>
      <c r="CD11" t="str">
        <f>""</f>
        <v/>
      </c>
      <c r="CE11" t="str">
        <f>""</f>
        <v/>
      </c>
      <c r="CF11" t="str">
        <f>""</f>
        <v/>
      </c>
      <c r="CG11" t="str">
        <f>""</f>
        <v/>
      </c>
      <c r="CH11" t="str">
        <f>""</f>
        <v/>
      </c>
      <c r="CI11" t="str">
        <f>""</f>
        <v/>
      </c>
      <c r="CJ11" t="str">
        <f>""</f>
        <v/>
      </c>
      <c r="CK11" t="str">
        <f>""</f>
        <v/>
      </c>
      <c r="CL11" t="str">
        <f>""</f>
        <v/>
      </c>
      <c r="CM11" t="str">
        <f>""</f>
        <v/>
      </c>
      <c r="CN11" t="str">
        <f>""</f>
        <v/>
      </c>
      <c r="CO11" t="str">
        <f>""</f>
        <v/>
      </c>
      <c r="CP11" t="str">
        <f>""</f>
        <v/>
      </c>
      <c r="CQ11" t="str">
        <f>""</f>
        <v/>
      </c>
      <c r="CR11" t="str">
        <f>""</f>
        <v/>
      </c>
      <c r="CS11" t="str">
        <f>""</f>
        <v/>
      </c>
      <c r="CT11" t="str">
        <f>""</f>
        <v/>
      </c>
      <c r="CU11" t="str">
        <f>""</f>
        <v/>
      </c>
      <c r="CV11" t="str">
        <f>""</f>
        <v/>
      </c>
      <c r="CW11" t="str">
        <f>""</f>
        <v/>
      </c>
      <c r="CX11" t="str">
        <f>""</f>
        <v/>
      </c>
      <c r="CY11" t="str">
        <f>""</f>
        <v/>
      </c>
      <c r="CZ11" t="str">
        <f>""</f>
        <v/>
      </c>
      <c r="DA11" t="str">
        <f>""</f>
        <v/>
      </c>
      <c r="DB11" t="str">
        <f>""</f>
        <v/>
      </c>
      <c r="DC11" t="str">
        <f>""</f>
        <v/>
      </c>
      <c r="DD11" t="str">
        <f>""</f>
        <v/>
      </c>
      <c r="DE11" t="str">
        <f>""</f>
        <v/>
      </c>
      <c r="DF11" t="str">
        <f>""</f>
        <v/>
      </c>
      <c r="DG11" t="str">
        <f>""</f>
        <v/>
      </c>
      <c r="DH11" t="str">
        <f>""</f>
        <v/>
      </c>
      <c r="DI11" t="str">
        <f>""</f>
        <v/>
      </c>
      <c r="DJ11" t="str">
        <f>""</f>
        <v/>
      </c>
      <c r="DK11" t="str">
        <f>""</f>
        <v/>
      </c>
      <c r="DL11" t="str">
        <f>""</f>
        <v/>
      </c>
      <c r="DM11" t="str">
        <f>""</f>
        <v/>
      </c>
      <c r="DN11" t="str">
        <f>""</f>
        <v/>
      </c>
      <c r="DO11" t="str">
        <f>""</f>
        <v/>
      </c>
      <c r="DP11" t="str">
        <f>""</f>
        <v/>
      </c>
      <c r="DQ11" t="str">
        <f>""</f>
        <v/>
      </c>
      <c r="DR11" t="str">
        <f>""</f>
        <v/>
      </c>
      <c r="DS11" t="str">
        <f>""</f>
        <v/>
      </c>
      <c r="DT11" t="str">
        <f>""</f>
        <v/>
      </c>
      <c r="DU11" t="str">
        <f>""</f>
        <v/>
      </c>
    </row>
    <row r="12" spans="1:125">
      <c r="A12" t="str">
        <f>"    Flagstar Financial Inc"</f>
        <v xml:space="preserve">    Flagstar Financial Inc</v>
      </c>
      <c r="B12" t="str">
        <f>"FLG US Equity"</f>
        <v>FLG US Equity</v>
      </c>
      <c r="E12" t="str">
        <f t="shared" si="0"/>
        <v>Expression</v>
      </c>
      <c r="F12" t="e">
        <f ca="1">IF(AND($B$185=1,LEN($F$203) * LEN($F$204)&gt;0),($F$203/$F$204)*100,HLOOKUP(INDIRECT(ADDRESS(2,COLUMN())),OFFSET($BN$2,0,0,ROW()-1,60),ROW()-1,FALSE))</f>
        <v>#NAME?</v>
      </c>
      <c r="G12">
        <f ca="1">IF(AND($B$185=1,LEN($G$203) * LEN($G$204)&gt;0),($G$203/$G$204)*100,HLOOKUP(INDIRECT(ADDRESS(2,COLUMN())),OFFSET($BN$2,0,0,ROW()-1,60),ROW()-1,FALSE))</f>
        <v>5.457463884</v>
      </c>
      <c r="H12">
        <f ca="1">IF(AND($B$185=1,LEN($H$203) * LEN($H$204)&gt;0),($H$203/$H$204)*100,HLOOKUP(INDIRECT(ADDRESS(2,COLUMN())),OFFSET($BN$2,0,0,ROW()-1,60),ROW()-1,FALSE))</f>
        <v>2.8315946350000001</v>
      </c>
      <c r="I12">
        <f ca="1">IF(AND($B$185=1,LEN($I$203) * LEN($I$204)&gt;0),($I$203/$I$204)*100,HLOOKUP(INDIRECT(ADDRESS(2,COLUMN())),OFFSET($BN$2,0,0,ROW()-1,60),ROW()-1,FALSE))</f>
        <v>3.3175355450000001</v>
      </c>
      <c r="J12" t="str">
        <f ca="1">IF(AND($B$185=1,LEN($J$203) * LEN($J$204)&gt;0),($J$203/$J$204)*100,HLOOKUP(INDIRECT(ADDRESS(2,COLUMN())),OFFSET($BN$2,0,0,ROW()-1,60),ROW()-1,FALSE))</f>
        <v/>
      </c>
      <c r="K12">
        <f ca="1">IF(AND($B$185=1,LEN($K$203) * LEN($K$204)&gt;0),($K$203/$K$204)*100,HLOOKUP(INDIRECT(ADDRESS(2,COLUMN())),OFFSET($BN$2,0,0,ROW()-1,60),ROW()-1,FALSE))</f>
        <v>2.207293666</v>
      </c>
      <c r="L12">
        <f ca="1">IF(AND($B$185=1,LEN($L$203) * LEN($L$204)&gt;0),($L$203/$L$204)*100,HLOOKUP(INDIRECT(ADDRESS(2,COLUMN())),OFFSET($BN$2,0,0,ROW()-1,60),ROW()-1,FALSE))</f>
        <v>2.0798668889999998</v>
      </c>
      <c r="M12">
        <f ca="1">IF(AND($B$185=1,LEN($M$203) * LEN($M$204)&gt;0),($M$203/$M$204)*100,HLOOKUP(INDIRECT(ADDRESS(2,COLUMN())),OFFSET($BN$2,0,0,ROW()-1,60),ROW()-1,FALSE))</f>
        <v>0.82924990600000004</v>
      </c>
      <c r="N12">
        <f ca="1">IF(AND($B$185=1,LEN($N$203) * LEN($N$204)&gt;0),($N$203/$N$204)*100,HLOOKUP(INDIRECT(ADDRESS(2,COLUMN())),OFFSET($BN$2,0,0,ROW()-1,60),ROW()-1,FALSE))</f>
        <v>1.039861352</v>
      </c>
      <c r="O12" t="str">
        <f ca="1">IF(AND($B$185=1,LEN($O$203) * LEN($O$204)&gt;0),($O$203/$O$204)*100,HLOOKUP(INDIRECT(ADDRESS(2,COLUMN())),OFFSET($BN$2,0,0,ROW()-1,60),ROW()-1,FALSE))</f>
        <v/>
      </c>
      <c r="P12" t="str">
        <f ca="1">IF(AND($B$185=1,LEN($P$203) * LEN($P$204)&gt;0),($P$203/$P$204)*100,HLOOKUP(INDIRECT(ADDRESS(2,COLUMN())),OFFSET($BN$2,0,0,ROW()-1,60),ROW()-1,FALSE))</f>
        <v/>
      </c>
      <c r="Q12" t="str">
        <f ca="1">IF(AND($B$185=1,LEN($Q$203) * LEN($Q$204)&gt;0),($Q$203/$Q$204)*100,HLOOKUP(INDIRECT(ADDRESS(2,COLUMN())),OFFSET($BN$2,0,0,ROW()-1,60),ROW()-1,FALSE))</f>
        <v/>
      </c>
      <c r="R12" t="str">
        <f ca="1">IF(AND($B$185=1,LEN($R$203) * LEN($R$204)&gt;0),($R$203/$R$204)*100,HLOOKUP(INDIRECT(ADDRESS(2,COLUMN())),OFFSET($BN$2,0,0,ROW()-1,60),ROW()-1,FALSE))</f>
        <v/>
      </c>
      <c r="S12" t="str">
        <f ca="1">IF(AND($B$185=1,LEN($S$203) * LEN($S$204)&gt;0),($S$203/$S$204)*100,HLOOKUP(INDIRECT(ADDRESS(2,COLUMN())),OFFSET($BN$2,0,0,ROW()-1,60),ROW()-1,FALSE))</f>
        <v/>
      </c>
      <c r="T12" t="str">
        <f ca="1">IF(AND($B$185=1,LEN($T$203) * LEN($T$204)&gt;0),($T$203/$T$204)*100,HLOOKUP(INDIRECT(ADDRESS(2,COLUMN())),OFFSET($BN$2,0,0,ROW()-1,60),ROW()-1,FALSE))</f>
        <v/>
      </c>
      <c r="U12" t="str">
        <f ca="1">IF(AND($B$185=1,LEN($U$203) * LEN($U$204)&gt;0),($U$203/$U$204)*100,HLOOKUP(INDIRECT(ADDRESS(2,COLUMN())),OFFSET($BN$2,0,0,ROW()-1,60),ROW()-1,FALSE))</f>
        <v/>
      </c>
      <c r="V12">
        <f ca="1">IF(AND($B$185=1,LEN($V$203) * LEN($V$204)&gt;0),($V$203/$V$204)*100,HLOOKUP(INDIRECT(ADDRESS(2,COLUMN())),OFFSET($BN$2,0,0,ROW()-1,60),ROW()-1,FALSE))</f>
        <v>0</v>
      </c>
      <c r="W12" t="str">
        <f ca="1">IF(AND($B$185=1,LEN($W$203) * LEN($W$204)&gt;0),($W$203/$W$204)*100,HLOOKUP(INDIRECT(ADDRESS(2,COLUMN())),OFFSET($BN$2,0,0,ROW()-1,60),ROW()-1,FALSE))</f>
        <v/>
      </c>
      <c r="X12" t="str">
        <f ca="1">IF(AND($B$185=1,LEN($X$203) * LEN($X$204)&gt;0),($X$203/$X$204)*100,HLOOKUP(INDIRECT(ADDRESS(2,COLUMN())),OFFSET($BN$2,0,0,ROW()-1,60),ROW()-1,FALSE))</f>
        <v/>
      </c>
      <c r="Y12" t="str">
        <f ca="1">IF(AND($B$185=1,LEN($Y$203) * LEN($Y$204)&gt;0),($Y$203/$Y$204)*100,HLOOKUP(INDIRECT(ADDRESS(2,COLUMN())),OFFSET($BN$2,0,0,ROW()-1,60),ROW()-1,FALSE))</f>
        <v/>
      </c>
      <c r="Z12">
        <f ca="1">IF(AND($B$185=1,LEN($Z$203) * LEN($Z$204)&gt;0),($Z$203/$Z$204)*100,HLOOKUP(INDIRECT(ADDRESS(2,COLUMN())),OFFSET($BN$2,0,0,ROW()-1,60),ROW()-1,FALSE))</f>
        <v>0</v>
      </c>
      <c r="AA12" t="str">
        <f ca="1">IF(AND($B$185=1,LEN($AA$203) * LEN($AA$204)&gt;0),($AA$203/$AA$204)*100,HLOOKUP(INDIRECT(ADDRESS(2,COLUMN())),OFFSET($BN$2,0,0,ROW()-1,60),ROW()-1,FALSE))</f>
        <v/>
      </c>
      <c r="AB12">
        <f ca="1">IF(AND($B$185=1,LEN($AB$203) * LEN($AB$204)&gt;0),($AB$203/$AB$204)*100,HLOOKUP(INDIRECT(ADDRESS(2,COLUMN())),OFFSET($BN$2,0,0,ROW()-1,60),ROW()-1,FALSE))</f>
        <v>0</v>
      </c>
      <c r="AC12" t="str">
        <f ca="1">IF(AND($B$185=1,LEN($AC$203) * LEN($AC$204)&gt;0),($AC$203/$AC$204)*100,HLOOKUP(INDIRECT(ADDRESS(2,COLUMN())),OFFSET($BN$2,0,0,ROW()-1,60),ROW()-1,FALSE))</f>
        <v/>
      </c>
      <c r="AD12">
        <f ca="1">IF(AND($B$185=1,LEN($AD$203) * LEN($AD$204)&gt;0),($AD$203/$AD$204)*100,HLOOKUP(INDIRECT(ADDRESS(2,COLUMN())),OFFSET($BN$2,0,0,ROW()-1,60),ROW()-1,FALSE))</f>
        <v>0</v>
      </c>
      <c r="AE12">
        <f ca="1">IF(AND($B$185=1,LEN($AE$203) * LEN($AE$204)&gt;0),($AE$203/$AE$204)*100,HLOOKUP(INDIRECT(ADDRESS(2,COLUMN())),OFFSET($BN$2,0,0,ROW()-1,60),ROW()-1,FALSE))</f>
        <v>0</v>
      </c>
      <c r="AF12">
        <f ca="1">IF(AND($B$185=1,LEN($AF$203) * LEN($AF$204)&gt;0),($AF$203/$AF$204)*100,HLOOKUP(INDIRECT(ADDRESS(2,COLUMN())),OFFSET($BN$2,0,0,ROW()-1,60),ROW()-1,FALSE))</f>
        <v>0</v>
      </c>
      <c r="AG12">
        <f ca="1">IF(AND($B$185=1,LEN($AG$203) * LEN($AG$204)&gt;0),($AG$203/$AG$204)*100,HLOOKUP(INDIRECT(ADDRESS(2,COLUMN())),OFFSET($BN$2,0,0,ROW()-1,60),ROW()-1,FALSE))</f>
        <v>0</v>
      </c>
      <c r="AH12">
        <f ca="1">IF(AND($B$185=1,LEN($AH$203) * LEN($AH$204)&gt;0),($AH$203/$AH$204)*100,HLOOKUP(INDIRECT(ADDRESS(2,COLUMN())),OFFSET($BN$2,0,0,ROW()-1,60),ROW()-1,FALSE))</f>
        <v>0</v>
      </c>
      <c r="AI12">
        <f ca="1">IF(AND($B$185=1,LEN($AI$203) * LEN($AI$204)&gt;0),($AI$203/$AI$204)*100,HLOOKUP(INDIRECT(ADDRESS(2,COLUMN())),OFFSET($BN$2,0,0,ROW()-1,60),ROW()-1,FALSE))</f>
        <v>0.38570253199999999</v>
      </c>
      <c r="AJ12">
        <f ca="1">IF(AND($B$185=1,LEN($AJ$203) * LEN($AJ$204)&gt;0),($AJ$203/$AJ$204)*100,HLOOKUP(INDIRECT(ADDRESS(2,COLUMN())),OFFSET($BN$2,0,0,ROW()-1,60),ROW()-1,FALSE))</f>
        <v>2.4233751030000001</v>
      </c>
      <c r="AK12">
        <f ca="1">IF(AND($B$185=1,LEN($AK$203) * LEN($AK$204)&gt;0),($AK$203/$AK$204)*100,HLOOKUP(INDIRECT(ADDRESS(2,COLUMN())),OFFSET($BN$2,0,0,ROW()-1,60),ROW()-1,FALSE))</f>
        <v>2.9851202579999998</v>
      </c>
      <c r="AL12">
        <f ca="1">IF(AND($B$185=1,LEN($AL$203) * LEN($AL$204)&gt;0),($AL$203/$AL$204)*100,HLOOKUP(INDIRECT(ADDRESS(2,COLUMN())),OFFSET($BN$2,0,0,ROW()-1,60),ROW()-1,FALSE))</f>
        <v>0.93735448200000004</v>
      </c>
      <c r="AM12">
        <f ca="1">IF(AND($B$185=1,LEN($AM$203) * LEN($AM$204)&gt;0),($AM$203/$AM$204)*100,HLOOKUP(INDIRECT(ADDRESS(2,COLUMN())),OFFSET($BN$2,0,0,ROW()-1,60),ROW()-1,FALSE))</f>
        <v>3.6000980450000002</v>
      </c>
      <c r="AN12">
        <f ca="1">IF(AND($B$185=1,LEN($AN$203) * LEN($AN$204)&gt;0),($AN$203/$AN$204)*100,HLOOKUP(INDIRECT(ADDRESS(2,COLUMN())),OFFSET($BN$2,0,0,ROW()-1,60),ROW()-1,FALSE))</f>
        <v>1.9168510409999999</v>
      </c>
      <c r="AO12">
        <f ca="1">IF(AND($B$185=1,LEN($AO$203) * LEN($AO$204)&gt;0),($AO$203/$AO$204)*100,HLOOKUP(INDIRECT(ADDRESS(2,COLUMN())),OFFSET($BN$2,0,0,ROW()-1,60),ROW()-1,FALSE))</f>
        <v>1.13962154</v>
      </c>
      <c r="AP12">
        <f ca="1">IF(AND($B$185=1,LEN($AP$203) * LEN($AP$204)&gt;0),($AP$203/$AP$204)*100,HLOOKUP(INDIRECT(ADDRESS(2,COLUMN())),OFFSET($BN$2,0,0,ROW()-1,60),ROW()-1,FALSE))</f>
        <v>-3.143574063</v>
      </c>
      <c r="AQ12">
        <f ca="1">IF(AND($B$185=1,LEN($AQ$203) * LEN($AQ$204)&gt;0),($AQ$203/$AQ$204)*100,HLOOKUP(INDIRECT(ADDRESS(2,COLUMN())),OFFSET($BN$2,0,0,ROW()-1,60),ROW()-1,FALSE))</f>
        <v>2.357736144</v>
      </c>
      <c r="AR12">
        <f ca="1">IF(AND($B$185=1,LEN($AR$203) * LEN($AR$204)&gt;0),($AR$203/$AR$204)*100,HLOOKUP(INDIRECT(ADDRESS(2,COLUMN())),OFFSET($BN$2,0,0,ROW()-1,60),ROW()-1,FALSE))</f>
        <v>4.6017556300000004</v>
      </c>
      <c r="AS12">
        <f ca="1">IF(AND($B$185=1,LEN($AS$203) * LEN($AS$204)&gt;0),($AS$203/$AS$204)*100,HLOOKUP(INDIRECT(ADDRESS(2,COLUMN())),OFFSET($BN$2,0,0,ROW()-1,60),ROW()-1,FALSE))</f>
        <v>5.3350415360000003</v>
      </c>
      <c r="AT12">
        <f ca="1">IF(AND($B$185=1,LEN($AT$203) * LEN($AT$204)&gt;0),($AT$203/$AT$204)*100,HLOOKUP(INDIRECT(ADDRESS(2,COLUMN())),OFFSET($BN$2,0,0,ROW()-1,60),ROW()-1,FALSE))</f>
        <v>4.6436507689999997</v>
      </c>
      <c r="AU12">
        <f ca="1">IF(AND($B$185=1,LEN($AU$203) * LEN($AU$204)&gt;0),($AU$203/$AU$204)*100,HLOOKUP(INDIRECT(ADDRESS(2,COLUMN())),OFFSET($BN$2,0,0,ROW()-1,60),ROW()-1,FALSE))</f>
        <v>5.0273224040000004</v>
      </c>
      <c r="AV12">
        <f ca="1">IF(AND($B$185=1,LEN($AV$203) * LEN($AV$204)&gt;0),($AV$203/$AV$204)*100,HLOOKUP(INDIRECT(ADDRESS(2,COLUMN())),OFFSET($BN$2,0,0,ROW()-1,60),ROW()-1,FALSE))</f>
        <v>4.5497418810000001</v>
      </c>
      <c r="AW12">
        <f ca="1">IF(AND($B$185=1,LEN($AW$203) * LEN($AW$204)&gt;0),($AW$203/$AW$204)*100,HLOOKUP(INDIRECT(ADDRESS(2,COLUMN())),OFFSET($BN$2,0,0,ROW()-1,60),ROW()-1,FALSE))</f>
        <v>4.5459495619999997</v>
      </c>
      <c r="AX12">
        <f ca="1">IF(AND($B$185=1,LEN($AX$203) * LEN($AX$204)&gt;0),($AX$203/$AX$204)*100,HLOOKUP(INDIRECT(ADDRESS(2,COLUMN())),OFFSET($BN$2,0,0,ROW()-1,60),ROW()-1,FALSE))</f>
        <v>3.794011335</v>
      </c>
      <c r="AY12">
        <f ca="1">IF(AND($B$185=1,LEN($AY$203) * LEN($AY$204)&gt;0),($AY$203/$AY$204)*100,HLOOKUP(INDIRECT(ADDRESS(2,COLUMN())),OFFSET($BN$2,0,0,ROW()-1,60),ROW()-1,FALSE))</f>
        <v>4.6977141949999996</v>
      </c>
      <c r="AZ12">
        <f ca="1">IF(AND($B$185=1,LEN($AZ$203) * LEN($AZ$204)&gt;0),($AZ$203/$AZ$204)*100,HLOOKUP(INDIRECT(ADDRESS(2,COLUMN())),OFFSET($BN$2,0,0,ROW()-1,60),ROW()-1,FALSE))</f>
        <v>6.5650724350000003</v>
      </c>
      <c r="BA12">
        <f ca="1">IF(AND($B$185=1,LEN($BA$203) * LEN($BA$204)&gt;0),($BA$203/$BA$204)*100,HLOOKUP(INDIRECT(ADDRESS(2,COLUMN())),OFFSET($BN$2,0,0,ROW()-1,60),ROW()-1,FALSE))</f>
        <v>7.4442515120000001</v>
      </c>
      <c r="BB12">
        <f ca="1">IF(AND($B$185=1,LEN($BB$203) * LEN($BB$204)&gt;0),($BB$203/$BB$204)*100,HLOOKUP(INDIRECT(ADDRESS(2,COLUMN())),OFFSET($BN$2,0,0,ROW()-1,60),ROW()-1,FALSE))</f>
        <v>9.4281844069999998</v>
      </c>
      <c r="BC12">
        <f ca="1">IF(AND($B$185=1,LEN($BC$203) * LEN($BC$204)&gt;0),($BC$203/$BC$204)*100,HLOOKUP(INDIRECT(ADDRESS(2,COLUMN())),OFFSET($BN$2,0,0,ROW()-1,60),ROW()-1,FALSE))</f>
        <v>14.34260666</v>
      </c>
      <c r="BD12">
        <f ca="1">IF(AND($B$185=1,LEN($BD$203) * LEN($BD$204)&gt;0),($BD$203/$BD$204)*100,HLOOKUP(INDIRECT(ADDRESS(2,COLUMN())),OFFSET($BN$2,0,0,ROW()-1,60),ROW()-1,FALSE))</f>
        <v>14.770514179999999</v>
      </c>
      <c r="BE12">
        <f ca="1">IF(AND($B$185=1,LEN($BE$203) * LEN($BE$204)&gt;0),($BE$203/$BE$204)*100,HLOOKUP(INDIRECT(ADDRESS(2,COLUMN())),OFFSET($BN$2,0,0,ROW()-1,60),ROW()-1,FALSE))</f>
        <v>10.035387119999999</v>
      </c>
      <c r="BF12">
        <f ca="1">IF(AND($B$185=1,LEN($BF$203) * LEN($BF$204)&gt;0),($BF$203/$BF$204)*100,HLOOKUP(INDIRECT(ADDRESS(2,COLUMN())),OFFSET($BN$2,0,0,ROW()-1,60),ROW()-1,FALSE))</f>
        <v>6.8574730009999998</v>
      </c>
      <c r="BG12">
        <f ca="1">IF(AND($B$185=1,LEN($BG$203) * LEN($BG$204)&gt;0),($BG$203/$BG$204)*100,HLOOKUP(INDIRECT(ADDRESS(2,COLUMN())),OFFSET($BN$2,0,0,ROW()-1,60),ROW()-1,FALSE))</f>
        <v>6.8757860390000003</v>
      </c>
      <c r="BH12">
        <f ca="1">IF(AND($B$185=1,LEN($BH$203) * LEN($BH$204)&gt;0),($BH$203/$BH$204)*100,HLOOKUP(INDIRECT(ADDRESS(2,COLUMN())),OFFSET($BN$2,0,0,ROW()-1,60),ROW()-1,FALSE))</f>
        <v>3.2630143669999998</v>
      </c>
      <c r="BI12">
        <f ca="1">IF(AND($B$185=1,LEN($BI$203) * LEN($BI$204)&gt;0),($BI$203/$BI$204)*100,HLOOKUP(INDIRECT(ADDRESS(2,COLUMN())),OFFSET($BN$2,0,0,ROW()-1,60),ROW()-1,FALSE))</f>
        <v>5.5098352410000002</v>
      </c>
      <c r="BJ12">
        <f ca="1">IF(AND($B$185=1,LEN($BJ$203) * LEN($BJ$204)&gt;0),($BJ$203/$BJ$204)*100,HLOOKUP(INDIRECT(ADDRESS(2,COLUMN())),OFFSET($BN$2,0,0,ROW()-1,60),ROW()-1,FALSE))</f>
        <v>9.8924678509999993</v>
      </c>
      <c r="BK12">
        <f ca="1">IF(AND($B$185=1,LEN($BK$203) * LEN($BK$204)&gt;0),($BK$203/$BK$204)*100,HLOOKUP(INDIRECT(ADDRESS(2,COLUMN())),OFFSET($BN$2,0,0,ROW()-1,60),ROW()-1,FALSE))</f>
        <v>19.44234676</v>
      </c>
      <c r="BL12">
        <f ca="1">IF(AND($B$185=1,LEN($BL$203) * LEN($BL$204)&gt;0),($BL$203/$BL$204)*100,HLOOKUP(INDIRECT(ADDRESS(2,COLUMN())),OFFSET($BN$2,0,0,ROW()-1,60),ROW()-1,FALSE))</f>
        <v>10.770975979999999</v>
      </c>
      <c r="BM12" t="str">
        <f ca="1">IF(AND($B$185=1,LEN($BM$203) * LEN($BM$204)&gt;0),($BM$203/$BM$204)*100,HLOOKUP(INDIRECT(ADDRESS(2,COLUMN())),OFFSET($BN$2,0,0,ROW()-1,60),ROW()-1,FALSE))</f>
        <v/>
      </c>
      <c r="BN12" t="str">
        <f>""</f>
        <v/>
      </c>
      <c r="BO12">
        <f>5.457463884</f>
        <v>5.457463884</v>
      </c>
      <c r="BP12">
        <f>2.831594635</f>
        <v>2.8315946350000001</v>
      </c>
      <c r="BQ12">
        <f>3.317535545</f>
        <v>3.3175355450000001</v>
      </c>
      <c r="BR12" t="str">
        <f>""</f>
        <v/>
      </c>
      <c r="BS12">
        <f>2.207293666</f>
        <v>2.207293666</v>
      </c>
      <c r="BT12">
        <f>2.079866889</f>
        <v>2.0798668889999998</v>
      </c>
      <c r="BU12">
        <f>0.829249906</f>
        <v>0.82924990600000004</v>
      </c>
      <c r="BV12">
        <f>1.039861352</f>
        <v>1.039861352</v>
      </c>
      <c r="BW12" t="str">
        <f>""</f>
        <v/>
      </c>
      <c r="BX12" t="str">
        <f>""</f>
        <v/>
      </c>
      <c r="BY12" t="str">
        <f>""</f>
        <v/>
      </c>
      <c r="BZ12" t="str">
        <f>""</f>
        <v/>
      </c>
      <c r="CA12" t="str">
        <f>""</f>
        <v/>
      </c>
      <c r="CB12" t="str">
        <f>""</f>
        <v/>
      </c>
      <c r="CC12" t="str">
        <f>""</f>
        <v/>
      </c>
      <c r="CD12">
        <f>0</f>
        <v>0</v>
      </c>
      <c r="CE12" t="str">
        <f>""</f>
        <v/>
      </c>
      <c r="CF12" t="str">
        <f>""</f>
        <v/>
      </c>
      <c r="CG12" t="str">
        <f>""</f>
        <v/>
      </c>
      <c r="CH12">
        <f>0</f>
        <v>0</v>
      </c>
      <c r="CI12" t="str">
        <f>""</f>
        <v/>
      </c>
      <c r="CJ12">
        <f>0</f>
        <v>0</v>
      </c>
      <c r="CK12" t="str">
        <f>""</f>
        <v/>
      </c>
      <c r="CL12">
        <f>0</f>
        <v>0</v>
      </c>
      <c r="CM12">
        <f>0</f>
        <v>0</v>
      </c>
      <c r="CN12">
        <f>0</f>
        <v>0</v>
      </c>
      <c r="CO12">
        <f>0</f>
        <v>0</v>
      </c>
      <c r="CP12">
        <f>0</f>
        <v>0</v>
      </c>
      <c r="CQ12">
        <f>0.385702532</f>
        <v>0.38570253199999999</v>
      </c>
      <c r="CR12">
        <f>2.423375103</f>
        <v>2.4233751030000001</v>
      </c>
      <c r="CS12">
        <f>2.985120258</f>
        <v>2.9851202579999998</v>
      </c>
      <c r="CT12">
        <f>0.937354482</f>
        <v>0.93735448200000004</v>
      </c>
      <c r="CU12">
        <f>3.600098045</f>
        <v>3.6000980450000002</v>
      </c>
      <c r="CV12">
        <f>1.916851041</f>
        <v>1.9168510409999999</v>
      </c>
      <c r="CW12">
        <f>1.13962154</f>
        <v>1.13962154</v>
      </c>
      <c r="CX12">
        <f>-3.143574063</f>
        <v>-3.143574063</v>
      </c>
      <c r="CY12">
        <f>2.357736144</f>
        <v>2.357736144</v>
      </c>
      <c r="CZ12">
        <f>4.60175563</f>
        <v>4.6017556300000004</v>
      </c>
      <c r="DA12">
        <f>5.335041536</f>
        <v>5.3350415360000003</v>
      </c>
      <c r="DB12">
        <f>4.643650769</f>
        <v>4.6436507689999997</v>
      </c>
      <c r="DC12">
        <f>5.027322404</f>
        <v>5.0273224040000004</v>
      </c>
      <c r="DD12">
        <f>4.549741881</f>
        <v>4.5497418810000001</v>
      </c>
      <c r="DE12">
        <f>4.545949562</f>
        <v>4.5459495619999997</v>
      </c>
      <c r="DF12">
        <f>3.794011335</f>
        <v>3.794011335</v>
      </c>
      <c r="DG12">
        <f>4.697714195</f>
        <v>4.6977141949999996</v>
      </c>
      <c r="DH12">
        <f>6.565072435</f>
        <v>6.5650724350000003</v>
      </c>
      <c r="DI12">
        <f>7.444251512</f>
        <v>7.4442515120000001</v>
      </c>
      <c r="DJ12">
        <f>9.428184407</f>
        <v>9.4281844069999998</v>
      </c>
      <c r="DK12">
        <f>14.34260666</f>
        <v>14.34260666</v>
      </c>
      <c r="DL12">
        <f>14.77051418</f>
        <v>14.770514179999999</v>
      </c>
      <c r="DM12">
        <f>10.03538712</f>
        <v>10.035387119999999</v>
      </c>
      <c r="DN12">
        <f>6.857473001</f>
        <v>6.8574730009999998</v>
      </c>
      <c r="DO12">
        <f>6.875786039</f>
        <v>6.8757860390000003</v>
      </c>
      <c r="DP12">
        <f>3.263014367</f>
        <v>3.2630143669999998</v>
      </c>
      <c r="DQ12">
        <f>5.509835241</f>
        <v>5.5098352410000002</v>
      </c>
      <c r="DR12">
        <f>9.892467851</f>
        <v>9.8924678509999993</v>
      </c>
      <c r="DS12">
        <f>19.44234676</f>
        <v>19.44234676</v>
      </c>
      <c r="DT12">
        <f>10.77097598</f>
        <v>10.770975979999999</v>
      </c>
      <c r="DU12" t="str">
        <f>""</f>
        <v/>
      </c>
    </row>
    <row r="13" spans="1:125">
      <c r="A13" t="str">
        <f>"    Huntington Bancshares Inc/OH"</f>
        <v xml:space="preserve">    Huntington Bancshares Inc/OH</v>
      </c>
      <c r="B13" t="str">
        <f>"HBAN US Equity"</f>
        <v>HBAN US Equity</v>
      </c>
      <c r="E13" t="str">
        <f t="shared" si="0"/>
        <v>Expression</v>
      </c>
      <c r="F13" t="e">
        <f ca="1">IF(AND($B$185=1,LEN($F$205) * LEN($F$206)&gt;0),($F$205/$F$206)*100,HLOOKUP(INDIRECT(ADDRESS(2,COLUMN())),OFFSET($BN$2,0,0,ROW()-1,60),ROW()-1,FALSE))</f>
        <v>#NAME?</v>
      </c>
      <c r="G13">
        <f ca="1">IF(AND($B$185=1,LEN($G$205) * LEN($G$206)&gt;0),($G$205/$G$206)*100,HLOOKUP(INDIRECT(ADDRESS(2,COLUMN())),OFFSET($BN$2,0,0,ROW()-1,60),ROW()-1,FALSE))</f>
        <v>2.0277481320000001</v>
      </c>
      <c r="H13">
        <f ca="1">IF(AND($B$185=1,LEN($H$205) * LEN($H$206)&gt;0),($H$205/$H$206)*100,HLOOKUP(INDIRECT(ADDRESS(2,COLUMN())),OFFSET($BN$2,0,0,ROW()-1,60),ROW()-1,FALSE))</f>
        <v>1.6638935109999999</v>
      </c>
      <c r="I13">
        <f ca="1">IF(AND($B$185=1,LEN($I$205) * LEN($I$206)&gt;0),($I$205/$I$206)*100,HLOOKUP(INDIRECT(ADDRESS(2,COLUMN())),OFFSET($BN$2,0,0,ROW()-1,60),ROW()-1,FALSE))</f>
        <v>1.7673888259999999</v>
      </c>
      <c r="J13">
        <f ca="1">IF(AND($B$185=1,LEN($J$205) * LEN($J$206)&gt;0),($J$205/$J$206)*100,HLOOKUP(INDIRECT(ADDRESS(2,COLUMN())),OFFSET($BN$2,0,0,ROW()-1,60),ROW()-1,FALSE))</f>
        <v>1.3364323069999999</v>
      </c>
      <c r="K13">
        <f ca="1">IF(AND($B$185=1,LEN($K$205) * LEN($K$206)&gt;0),($K$205/$K$206)*100,HLOOKUP(INDIRECT(ADDRESS(2,COLUMN())),OFFSET($BN$2,0,0,ROW()-1,60),ROW()-1,FALSE))</f>
        <v>1.438465637</v>
      </c>
      <c r="L13">
        <f ca="1">IF(AND($B$185=1,LEN($L$205) * LEN($L$206)&gt;0),($L$205/$L$206)*100,HLOOKUP(INDIRECT(ADDRESS(2,COLUMN())),OFFSET($BN$2,0,0,ROW()-1,60),ROW()-1,FALSE))</f>
        <v>1.792504074</v>
      </c>
      <c r="M13">
        <f ca="1">IF(AND($B$185=1,LEN($M$205) * LEN($M$206)&gt;0),($M$205/$M$206)*100,HLOOKUP(INDIRECT(ADDRESS(2,COLUMN())),OFFSET($BN$2,0,0,ROW()-1,60),ROW()-1,FALSE))</f>
        <v>1.3534617390000001</v>
      </c>
      <c r="N13">
        <f ca="1">IF(AND($B$185=1,LEN($N$205) * LEN($N$206)&gt;0),($N$205/$N$206)*100,HLOOKUP(INDIRECT(ADDRESS(2,COLUMN())),OFFSET($BN$2,0,0,ROW()-1,60),ROW()-1,FALSE))</f>
        <v>1.274859765</v>
      </c>
      <c r="O13">
        <f ca="1">IF(AND($B$185=1,LEN($O$205) * LEN($O$206)&gt;0),($O$205/$O$206)*100,HLOOKUP(INDIRECT(ADDRESS(2,COLUMN())),OFFSET($BN$2,0,0,ROW()-1,60),ROW()-1,FALSE))</f>
        <v>1.366982124</v>
      </c>
      <c r="P13">
        <f ca="1">IF(AND($B$185=1,LEN($P$205) * LEN($P$206)&gt;0),($P$205/$P$206)*100,HLOOKUP(INDIRECT(ADDRESS(2,COLUMN())),OFFSET($BN$2,0,0,ROW()-1,60),ROW()-1,FALSE))</f>
        <v>2.5200458189999999</v>
      </c>
      <c r="Q13">
        <f ca="1">IF(AND($B$185=1,LEN($Q$205) * LEN($Q$206)&gt;0),($Q$205/$Q$206)*100,HLOOKUP(INDIRECT(ADDRESS(2,COLUMN())),OFFSET($BN$2,0,0,ROW()-1,60),ROW()-1,FALSE))</f>
        <v>2.9787234040000001</v>
      </c>
      <c r="R13">
        <f ca="1">IF(AND($B$185=1,LEN($R$205) * LEN($R$206)&gt;0),($R$205/$R$206)*100,HLOOKUP(INDIRECT(ADDRESS(2,COLUMN())),OFFSET($BN$2,0,0,ROW()-1,60),ROW()-1,FALSE))</f>
        <v>3.703703704</v>
      </c>
      <c r="S13">
        <f ca="1">IF(AND($B$185=1,LEN($S$205) * LEN($S$206)&gt;0),($S$205/$S$206)*100,HLOOKUP(INDIRECT(ADDRESS(2,COLUMN())),OFFSET($BN$2,0,0,ROW()-1,60),ROW()-1,FALSE))</f>
        <v>4.7787610620000001</v>
      </c>
      <c r="T13">
        <f ca="1">IF(AND($B$185=1,LEN($T$205) * LEN($T$206)&gt;0),($T$205/$T$206)*100,HLOOKUP(INDIRECT(ADDRESS(2,COLUMN())),OFFSET($BN$2,0,0,ROW()-1,60),ROW()-1,FALSE))</f>
        <v>5.2262090480000003</v>
      </c>
      <c r="U13">
        <f ca="1">IF(AND($B$185=1,LEN($U$205) * LEN($U$206)&gt;0),($U$205/$U$206)*100,HLOOKUP(INDIRECT(ADDRESS(2,COLUMN())),OFFSET($BN$2,0,0,ROW()-1,60),ROW()-1,FALSE))</f>
        <v>7.3152889539999997</v>
      </c>
      <c r="V13">
        <f ca="1">IF(AND($B$185=1,LEN($V$205) * LEN($V$206)&gt;0),($V$205/$V$206)*100,HLOOKUP(INDIRECT(ADDRESS(2,COLUMN())),OFFSET($BN$2,0,0,ROW()-1,60),ROW()-1,FALSE))</f>
        <v>7.2933549429999998</v>
      </c>
      <c r="W13">
        <f ca="1">IF(AND($B$185=1,LEN($W$205) * LEN($W$206)&gt;0),($W$205/$W$206)*100,HLOOKUP(INDIRECT(ADDRESS(2,COLUMN())),OFFSET($BN$2,0,0,ROW()-1,60),ROW()-1,FALSE))</f>
        <v>9.7834803529999999</v>
      </c>
      <c r="X13">
        <f ca="1">IF(AND($B$185=1,LEN($X$205) * LEN($X$206)&gt;0),($X$205/$X$206)*100,HLOOKUP(INDIRECT(ADDRESS(2,COLUMN())),OFFSET($BN$2,0,0,ROW()-1,60),ROW()-1,FALSE))</f>
        <v>8.1149619610000006</v>
      </c>
      <c r="Y13">
        <f ca="1">IF(AND($B$185=1,LEN($Y$205) * LEN($Y$206)&gt;0),($Y$205/$Y$206)*100,HLOOKUP(INDIRECT(ADDRESS(2,COLUMN())),OFFSET($BN$2,0,0,ROW()-1,60),ROW()-1,FALSE))</f>
        <v>5.0390964379999996</v>
      </c>
      <c r="Z13">
        <f ca="1">IF(AND($B$185=1,LEN($Z$205) * LEN($Z$206)&gt;0),($Z$205/$Z$206)*100,HLOOKUP(INDIRECT(ADDRESS(2,COLUMN())),OFFSET($BN$2,0,0,ROW()-1,60),ROW()-1,FALSE))</f>
        <v>5.0347222220000001</v>
      </c>
      <c r="AA13">
        <f ca="1">IF(AND($B$185=1,LEN($AA$205) * LEN($AA$206)&gt;0),($AA$205/$AA$206)*100,HLOOKUP(INDIRECT(ADDRESS(2,COLUMN())),OFFSET($BN$2,0,0,ROW()-1,60),ROW()-1,FALSE))</f>
        <v>4.5454545450000001</v>
      </c>
      <c r="AB13">
        <f ca="1">IF(AND($B$185=1,LEN($AB$205) * LEN($AB$206)&gt;0),($AB$205/$AB$206)*100,HLOOKUP(INDIRECT(ADDRESS(2,COLUMN())),OFFSET($BN$2,0,0,ROW()-1,60),ROW()-1,FALSE))</f>
        <v>2.866779089</v>
      </c>
      <c r="AC13">
        <f ca="1">IF(AND($B$185=1,LEN($AC$205) * LEN($AC$206)&gt;0),($AC$205/$AC$206)*100,HLOOKUP(INDIRECT(ADDRESS(2,COLUMN())),OFFSET($BN$2,0,0,ROW()-1,60),ROW()-1,FALSE))</f>
        <v>1.840490798</v>
      </c>
      <c r="AD13">
        <f ca="1">IF(AND($B$185=1,LEN($AD$205) * LEN($AD$206)&gt;0),($AD$205/$AD$206)*100,HLOOKUP(INDIRECT(ADDRESS(2,COLUMN())),OFFSET($BN$2,0,0,ROW()-1,60),ROW()-1,FALSE))</f>
        <v>1.9793459550000001</v>
      </c>
      <c r="AE13">
        <f ca="1">IF(AND($B$185=1,LEN($AE$205) * LEN($AE$206)&gt;0),($AE$205/$AE$206)*100,HLOOKUP(INDIRECT(ADDRESS(2,COLUMN())),OFFSET($BN$2,0,0,ROW()-1,60),ROW()-1,FALSE))</f>
        <v>2.70979021</v>
      </c>
      <c r="AF13">
        <f ca="1">IF(AND($B$185=1,LEN($AF$205) * LEN($AF$206)&gt;0),($AF$205/$AF$206)*100,HLOOKUP(INDIRECT(ADDRESS(2,COLUMN())),OFFSET($BN$2,0,0,ROW()-1,60),ROW()-1,FALSE))</f>
        <v>2.5</v>
      </c>
      <c r="AG13">
        <f ca="1">IF(AND($B$185=1,LEN($AG$205) * LEN($AG$206)&gt;0),($AG$205/$AG$206)*100,HLOOKUP(INDIRECT(ADDRESS(2,COLUMN())),OFFSET($BN$2,0,0,ROW()-1,60),ROW()-1,FALSE))</f>
        <v>2.3985239850000002</v>
      </c>
      <c r="AH13">
        <f ca="1">IF(AND($B$185=1,LEN($AH$205) * LEN($AH$206)&gt;0),($AH$205/$AH$206)*100,HLOOKUP(INDIRECT(ADDRESS(2,COLUMN())),OFFSET($BN$2,0,0,ROW()-1,60),ROW()-1,FALSE))</f>
        <v>2.9729729730000001</v>
      </c>
      <c r="AI13">
        <f ca="1">IF(AND($B$185=1,LEN($AI$205) * LEN($AI$206)&gt;0),($AI$205/$AI$206)*100,HLOOKUP(INDIRECT(ADDRESS(2,COLUMN())),OFFSET($BN$2,0,0,ROW()-1,60),ROW()-1,FALSE))</f>
        <v>3.125</v>
      </c>
      <c r="AJ13">
        <f ca="1">IF(AND($B$185=1,LEN($AJ$205) * LEN($AJ$206)&gt;0),($AJ$205/$AJ$206)*100,HLOOKUP(INDIRECT(ADDRESS(2,COLUMN())),OFFSET($BN$2,0,0,ROW()-1,60),ROW()-1,FALSE))</f>
        <v>2.9906542059999999</v>
      </c>
      <c r="AK13">
        <f ca="1">IF(AND($B$185=1,LEN($AK$205) * LEN($AK$206)&gt;0),($AK$205/$AK$206)*100,HLOOKUP(INDIRECT(ADDRESS(2,COLUMN())),OFFSET($BN$2,0,0,ROW()-1,60),ROW()-1,FALSE))</f>
        <v>3.0710172739999999</v>
      </c>
      <c r="AL13">
        <f ca="1">IF(AND($B$185=1,LEN($AL$205) * LEN($AL$206)&gt;0),($AL$205/$AL$206)*100,HLOOKUP(INDIRECT(ADDRESS(2,COLUMN())),OFFSET($BN$2,0,0,ROW()-1,60),ROW()-1,FALSE))</f>
        <v>3.5087784919999998</v>
      </c>
      <c r="AM13">
        <f ca="1">IF(AND($B$185=1,LEN($AM$205) * LEN($AM$206)&gt;0),($AM$205/$AM$206)*100,HLOOKUP(INDIRECT(ADDRESS(2,COLUMN())),OFFSET($BN$2,0,0,ROW()-1,60),ROW()-1,FALSE))</f>
        <v>4.3762428529999999</v>
      </c>
      <c r="AN13">
        <f ca="1">IF(AND($B$185=1,LEN($AN$205) * LEN($AN$206)&gt;0),($AN$205/$AN$206)*100,HLOOKUP(INDIRECT(ADDRESS(2,COLUMN())),OFFSET($BN$2,0,0,ROW()-1,60),ROW()-1,FALSE))</f>
        <v>4.0658023950000004</v>
      </c>
      <c r="AO13">
        <f ca="1">IF(AND($B$185=1,LEN($AO$205) * LEN($AO$206)&gt;0),($AO$205/$AO$206)*100,HLOOKUP(INDIRECT(ADDRESS(2,COLUMN())),OFFSET($BN$2,0,0,ROW()-1,60),ROW()-1,FALSE))</f>
        <v>2.4892171510000001</v>
      </c>
      <c r="AP13">
        <f ca="1">IF(AND($B$185=1,LEN($AP$205) * LEN($AP$206)&gt;0),($AP$205/$AP$206)*100,HLOOKUP(INDIRECT(ADDRESS(2,COLUMN())),OFFSET($BN$2,0,0,ROW()-1,60),ROW()-1,FALSE))</f>
        <v>4.0848963630000004</v>
      </c>
      <c r="AQ13">
        <f ca="1">IF(AND($B$185=1,LEN($AQ$205) * LEN($AQ$206)&gt;0),($AQ$205/$AQ$206)*100,HLOOKUP(INDIRECT(ADDRESS(2,COLUMN())),OFFSET($BN$2,0,0,ROW()-1,60),ROW()-1,FALSE))</f>
        <v>2.532281378</v>
      </c>
      <c r="AR13">
        <f ca="1">IF(AND($B$185=1,LEN($AR$205) * LEN($AR$206)&gt;0),($AR$205/$AR$206)*100,HLOOKUP(INDIRECT(ADDRESS(2,COLUMN())),OFFSET($BN$2,0,0,ROW()-1,60),ROW()-1,FALSE))</f>
        <v>4.986413518</v>
      </c>
      <c r="AS13">
        <f ca="1">IF(AND($B$185=1,LEN($AS$205) * LEN($AS$206)&gt;0),($AS$205/$AS$206)*100,HLOOKUP(INDIRECT(ADDRESS(2,COLUMN())),OFFSET($BN$2,0,0,ROW()-1,60),ROW()-1,FALSE))</f>
        <v>3.2833887210000001</v>
      </c>
      <c r="AT13">
        <f ca="1">IF(AND($B$185=1,LEN($AT$205) * LEN($AT$206)&gt;0),($AT$205/$AT$206)*100,HLOOKUP(INDIRECT(ADDRESS(2,COLUMN())),OFFSET($BN$2,0,0,ROW()-1,60),ROW()-1,FALSE))</f>
        <v>1.9857613970000001</v>
      </c>
      <c r="AU13">
        <f ca="1">IF(AND($B$185=1,LEN($AU$205) * LEN($AU$206)&gt;0),($AU$205/$AU$206)*100,HLOOKUP(INDIRECT(ADDRESS(2,COLUMN())),OFFSET($BN$2,0,0,ROW()-1,60),ROW()-1,FALSE))</f>
        <v>3.5100969059999998</v>
      </c>
      <c r="AV13">
        <f ca="1">IF(AND($B$185=1,LEN($AV$205) * LEN($AV$206)&gt;0),($AV$205/$AV$206)*100,HLOOKUP(INDIRECT(ADDRESS(2,COLUMN())),OFFSET($BN$2,0,0,ROW()-1,60),ROW()-1,FALSE))</f>
        <v>3.1990593070000002</v>
      </c>
      <c r="AW13">
        <f ca="1">IF(AND($B$185=1,LEN($AW$205) * LEN($AW$206)&gt;0),($AW$205/$AW$206)*100,HLOOKUP(INDIRECT(ADDRESS(2,COLUMN())),OFFSET($BN$2,0,0,ROW()-1,60),ROW()-1,FALSE))</f>
        <v>3.3657875979999998</v>
      </c>
      <c r="AX13">
        <f ca="1">IF(AND($B$185=1,LEN($AX$205) * LEN($AX$206)&gt;0),($AX$205/$AX$206)*100,HLOOKUP(INDIRECT(ADDRESS(2,COLUMN())),OFFSET($BN$2,0,0,ROW()-1,60),ROW()-1,FALSE))</f>
        <v>3.5746560459999999</v>
      </c>
      <c r="AY13">
        <f ca="1">IF(AND($B$185=1,LEN($AY$205) * LEN($AY$206)&gt;0),($AY$205/$AY$206)*100,HLOOKUP(INDIRECT(ADDRESS(2,COLUMN())),OFFSET($BN$2,0,0,ROW()-1,60),ROW()-1,FALSE))</f>
        <v>3.4807454550000001</v>
      </c>
      <c r="AZ13">
        <f ca="1">IF(AND($B$185=1,LEN($AZ$205) * LEN($AZ$206)&gt;0),($AZ$205/$AZ$206)*100,HLOOKUP(INDIRECT(ADDRESS(2,COLUMN())),OFFSET($BN$2,0,0,ROW()-1,60),ROW()-1,FALSE))</f>
        <v>4.9728450359999998</v>
      </c>
      <c r="BA13">
        <f ca="1">IF(AND($B$185=1,LEN($BA$205) * LEN($BA$206)&gt;0),($BA$205/$BA$206)*100,HLOOKUP(INDIRECT(ADDRESS(2,COLUMN())),OFFSET($BN$2,0,0,ROW()-1,60),ROW()-1,FALSE))</f>
        <v>6.6464156240000003</v>
      </c>
      <c r="BB13">
        <f ca="1">IF(AND($B$185=1,LEN($BB$205) * LEN($BB$206)&gt;0),($BB$205/$BB$206)*100,HLOOKUP(INDIRECT(ADDRESS(2,COLUMN())),OFFSET($BN$2,0,0,ROW()-1,60),ROW()-1,FALSE))</f>
        <v>8.4338518479999998</v>
      </c>
      <c r="BC13">
        <f ca="1">IF(AND($B$185=1,LEN($BC$205) * LEN($BC$206)&gt;0),($BC$205/$BC$206)*100,HLOOKUP(INDIRECT(ADDRESS(2,COLUMN())),OFFSET($BN$2,0,0,ROW()-1,60),ROW()-1,FALSE))</f>
        <v>6.4530313220000002</v>
      </c>
      <c r="BD13">
        <f ca="1">IF(AND($B$185=1,LEN($BD$205) * LEN($BD$206)&gt;0),($BD$205/$BD$206)*100,HLOOKUP(INDIRECT(ADDRESS(2,COLUMN())),OFFSET($BN$2,0,0,ROW()-1,60),ROW()-1,FALSE))</f>
        <v>5.6165886279999997</v>
      </c>
      <c r="BE13">
        <f ca="1">IF(AND($B$185=1,LEN($BE$205) * LEN($BE$206)&gt;0),($BE$205/$BE$206)*100,HLOOKUP(INDIRECT(ADDRESS(2,COLUMN())),OFFSET($BN$2,0,0,ROW()-1,60),ROW()-1,FALSE))</f>
        <v>6.6072717279999997</v>
      </c>
      <c r="BF13">
        <f ca="1">IF(AND($B$185=1,LEN($BF$205) * LEN($BF$206)&gt;0),($BF$205/$BF$206)*100,HLOOKUP(INDIRECT(ADDRESS(2,COLUMN())),OFFSET($BN$2,0,0,ROW()-1,60),ROW()-1,FALSE))</f>
        <v>3.7397362099999998</v>
      </c>
      <c r="BG13">
        <f ca="1">IF(AND($B$185=1,LEN($BG$205) * LEN($BG$206)&gt;0),($BG$205/$BG$206)*100,HLOOKUP(INDIRECT(ADDRESS(2,COLUMN())),OFFSET($BN$2,0,0,ROW()-1,60),ROW()-1,FALSE))</f>
        <v>1.923351633</v>
      </c>
      <c r="BH13">
        <f ca="1">IF(AND($B$185=1,LEN($BH$205) * LEN($BH$206)&gt;0),($BH$205/$BH$206)*100,HLOOKUP(INDIRECT(ADDRESS(2,COLUMN())),OFFSET($BN$2,0,0,ROW()-1,60),ROW()-1,FALSE))</f>
        <v>3.6162730010000002</v>
      </c>
      <c r="BI13">
        <f ca="1">IF(AND($B$185=1,LEN($BI$205) * LEN($BI$206)&gt;0),($BI$205/$BI$206)*100,HLOOKUP(INDIRECT(ADDRESS(2,COLUMN())),OFFSET($BN$2,0,0,ROW()-1,60),ROW()-1,FALSE))</f>
        <v>3.5373279790000001</v>
      </c>
      <c r="BJ13">
        <f ca="1">IF(AND($B$185=1,LEN($BJ$205) * LEN($BJ$206)&gt;0),($BJ$205/$BJ$206)*100,HLOOKUP(INDIRECT(ADDRESS(2,COLUMN())),OFFSET($BN$2,0,0,ROW()-1,60),ROW()-1,FALSE))</f>
        <v>7.8245628490000003</v>
      </c>
      <c r="BK13">
        <f ca="1">IF(AND($B$185=1,LEN($BK$205) * LEN($BK$206)&gt;0),($BK$205/$BK$206)*100,HLOOKUP(INDIRECT(ADDRESS(2,COLUMN())),OFFSET($BN$2,0,0,ROW()-1,60),ROW()-1,FALSE))</f>
        <v>7.6864001890000004</v>
      </c>
      <c r="BL13">
        <f ca="1">IF(AND($B$185=1,LEN($BL$205) * LEN($BL$206)&gt;0),($BL$205/$BL$206)*100,HLOOKUP(INDIRECT(ADDRESS(2,COLUMN())),OFFSET($BN$2,0,0,ROW()-1,60),ROW()-1,FALSE))</f>
        <v>6.8026397770000004</v>
      </c>
      <c r="BM13" t="str">
        <f ca="1">IF(AND($B$185=1,LEN($BM$205) * LEN($BM$206)&gt;0),($BM$205/$BM$206)*100,HLOOKUP(INDIRECT(ADDRESS(2,COLUMN())),OFFSET($BN$2,0,0,ROW()-1,60),ROW()-1,FALSE))</f>
        <v/>
      </c>
      <c r="BN13">
        <f>1.586489253</f>
        <v>1.5864892530000001</v>
      </c>
      <c r="BO13">
        <f>2.027748132</f>
        <v>2.0277481320000001</v>
      </c>
      <c r="BP13">
        <f>1.663893511</f>
        <v>1.6638935109999999</v>
      </c>
      <c r="BQ13">
        <f>1.767388826</f>
        <v>1.7673888259999999</v>
      </c>
      <c r="BR13">
        <f>1.336432307</f>
        <v>1.3364323069999999</v>
      </c>
      <c r="BS13">
        <f>1.438465637</f>
        <v>1.438465637</v>
      </c>
      <c r="BT13">
        <f>1.792504074</f>
        <v>1.792504074</v>
      </c>
      <c r="BU13">
        <f>1.353461739</f>
        <v>1.3534617390000001</v>
      </c>
      <c r="BV13">
        <f>1.274859765</f>
        <v>1.274859765</v>
      </c>
      <c r="BW13">
        <f>1.366982124</f>
        <v>1.366982124</v>
      </c>
      <c r="BX13">
        <f>2.520045819</f>
        <v>2.5200458189999999</v>
      </c>
      <c r="BY13">
        <f>2.978723404</f>
        <v>2.9787234040000001</v>
      </c>
      <c r="BZ13">
        <f>3.703703704</f>
        <v>3.703703704</v>
      </c>
      <c r="CA13">
        <f>4.778761062</f>
        <v>4.7787610620000001</v>
      </c>
      <c r="CB13">
        <f>5.226209048</f>
        <v>5.2262090480000003</v>
      </c>
      <c r="CC13">
        <f>7.315288954</f>
        <v>7.3152889539999997</v>
      </c>
      <c r="CD13">
        <f>7.293354943</f>
        <v>7.2933549429999998</v>
      </c>
      <c r="CE13">
        <f>9.783480353</f>
        <v>9.7834803529999999</v>
      </c>
      <c r="CF13">
        <f>8.114961961</f>
        <v>8.1149619610000006</v>
      </c>
      <c r="CG13">
        <f>5.039096438</f>
        <v>5.0390964379999996</v>
      </c>
      <c r="CH13">
        <f>5.034722222</f>
        <v>5.0347222220000001</v>
      </c>
      <c r="CI13">
        <f>4.545454545</f>
        <v>4.5454545450000001</v>
      </c>
      <c r="CJ13">
        <f>2.866779089</f>
        <v>2.866779089</v>
      </c>
      <c r="CK13">
        <f>1.840490798</f>
        <v>1.840490798</v>
      </c>
      <c r="CL13">
        <f>1.979345955</f>
        <v>1.9793459550000001</v>
      </c>
      <c r="CM13">
        <f>2.70979021</f>
        <v>2.70979021</v>
      </c>
      <c r="CN13">
        <f>2.5</f>
        <v>2.5</v>
      </c>
      <c r="CO13">
        <f>2.398523985</f>
        <v>2.3985239850000002</v>
      </c>
      <c r="CP13">
        <f>2.972972973</f>
        <v>2.9729729730000001</v>
      </c>
      <c r="CQ13">
        <f>3.125</f>
        <v>3.125</v>
      </c>
      <c r="CR13">
        <f>2.990654206</f>
        <v>2.9906542059999999</v>
      </c>
      <c r="CS13">
        <f>3.071017274</f>
        <v>3.0710172739999999</v>
      </c>
      <c r="CT13">
        <f>3.508778492</f>
        <v>3.5087784919999998</v>
      </c>
      <c r="CU13">
        <f>4.376242853</f>
        <v>4.3762428529999999</v>
      </c>
      <c r="CV13">
        <f>4.065802395</f>
        <v>4.0658023950000004</v>
      </c>
      <c r="CW13">
        <f>2.489217151</f>
        <v>2.4892171510000001</v>
      </c>
      <c r="CX13">
        <f>4.084896363</f>
        <v>4.0848963630000004</v>
      </c>
      <c r="CY13">
        <f>2.532281378</f>
        <v>2.532281378</v>
      </c>
      <c r="CZ13">
        <f>4.986413518</f>
        <v>4.986413518</v>
      </c>
      <c r="DA13">
        <f>3.283388721</f>
        <v>3.2833887210000001</v>
      </c>
      <c r="DB13">
        <f>1.985761397</f>
        <v>1.9857613970000001</v>
      </c>
      <c r="DC13">
        <f>3.510096906</f>
        <v>3.5100969059999998</v>
      </c>
      <c r="DD13">
        <f>3.199059307</f>
        <v>3.1990593070000002</v>
      </c>
      <c r="DE13">
        <f>3.365787598</f>
        <v>3.3657875979999998</v>
      </c>
      <c r="DF13">
        <f>3.574656046</f>
        <v>3.5746560459999999</v>
      </c>
      <c r="DG13">
        <f>3.480745455</f>
        <v>3.4807454550000001</v>
      </c>
      <c r="DH13">
        <f>4.972845036</f>
        <v>4.9728450359999998</v>
      </c>
      <c r="DI13">
        <f>6.646415624</f>
        <v>6.6464156240000003</v>
      </c>
      <c r="DJ13">
        <f>8.433851848</f>
        <v>8.4338518479999998</v>
      </c>
      <c r="DK13">
        <f>6.453031322</f>
        <v>6.4530313220000002</v>
      </c>
      <c r="DL13">
        <f>5.616588628</f>
        <v>5.6165886279999997</v>
      </c>
      <c r="DM13">
        <f>6.607271728</f>
        <v>6.6072717279999997</v>
      </c>
      <c r="DN13">
        <f>3.73973621</f>
        <v>3.7397362099999998</v>
      </c>
      <c r="DO13">
        <f>1.923351633</f>
        <v>1.923351633</v>
      </c>
      <c r="DP13">
        <f>3.616273001</f>
        <v>3.6162730010000002</v>
      </c>
      <c r="DQ13">
        <f>3.537327979</f>
        <v>3.5373279790000001</v>
      </c>
      <c r="DR13">
        <f>7.824562849</f>
        <v>7.8245628490000003</v>
      </c>
      <c r="DS13">
        <f>7.686400189</f>
        <v>7.6864001890000004</v>
      </c>
      <c r="DT13">
        <f>6.802639777</f>
        <v>6.8026397770000004</v>
      </c>
      <c r="DU13" t="str">
        <f>""</f>
        <v/>
      </c>
    </row>
    <row r="14" spans="1:125">
      <c r="A14" t="str">
        <f>"    JPMorgan Chase &amp; Co"</f>
        <v xml:space="preserve">    JPMorgan Chase &amp; Co</v>
      </c>
      <c r="B14" t="str">
        <f>"JPM US Equity"</f>
        <v>JPM US Equity</v>
      </c>
      <c r="E14" t="str">
        <f t="shared" si="0"/>
        <v>Expression</v>
      </c>
      <c r="F14" t="e">
        <f ca="1">IF(AND($B$185=1,LEN($F$207) * LEN($F$208)&gt;0),($F$207/$F$208)*100,HLOOKUP(INDIRECT(ADDRESS(2,COLUMN())),OFFSET($BN$2,0,0,ROW()-1,60),ROW()-1,FALSE))</f>
        <v>#NAME?</v>
      </c>
      <c r="G14">
        <f ca="1">IF(AND($B$185=1,LEN($G$207) * LEN($G$208)&gt;0),($G$207/$G$208)*100,HLOOKUP(INDIRECT(ADDRESS(2,COLUMN())),OFFSET($BN$2,0,0,ROW()-1,60),ROW()-1,FALSE))</f>
        <v>0.94246729500000004</v>
      </c>
      <c r="H14">
        <f ca="1">IF(AND($B$185=1,LEN($H$207) * LEN($H$208)&gt;0),($H$207/$H$208)*100,HLOOKUP(INDIRECT(ADDRESS(2,COLUMN())),OFFSET($BN$2,0,0,ROW()-1,60),ROW()-1,FALSE))</f>
        <v>0.69322709199999999</v>
      </c>
      <c r="I14">
        <f ca="1">IF(AND($B$185=1,LEN($I$207) * LEN($I$208)&gt;0),($I$207/$I$208)*100,HLOOKUP(INDIRECT(ADDRESS(2,COLUMN())),OFFSET($BN$2,0,0,ROW()-1,60),ROW()-1,FALSE))</f>
        <v>0.65579243600000003</v>
      </c>
      <c r="J14">
        <f ca="1">IF(AND($B$185=1,LEN($J$207) * LEN($J$208)&gt;0),($J$207/$J$208)*100,HLOOKUP(INDIRECT(ADDRESS(2,COLUMN())),OFFSET($BN$2,0,0,ROW()-1,60),ROW()-1,FALSE))</f>
        <v>0.68180639799999998</v>
      </c>
      <c r="K14">
        <f ca="1">IF(AND($B$185=1,LEN($K$207) * LEN($K$208)&gt;0),($K$207/$K$208)*100,HLOOKUP(INDIRECT(ADDRESS(2,COLUMN())),OFFSET($BN$2,0,0,ROW()-1,60),ROW()-1,FALSE))</f>
        <v>1.038270552</v>
      </c>
      <c r="L14">
        <f ca="1">IF(AND($B$185=1,LEN($L$207) * LEN($L$208)&gt;0),($L$207/$L$208)*100,HLOOKUP(INDIRECT(ADDRESS(2,COLUMN())),OFFSET($BN$2,0,0,ROW()-1,60),ROW()-1,FALSE))</f>
        <v>0.67300941700000005</v>
      </c>
      <c r="M14">
        <f ca="1">IF(AND($B$185=1,LEN($M$207) * LEN($M$208)&gt;0),($M$207/$M$208)*100,HLOOKUP(INDIRECT(ADDRESS(2,COLUMN())),OFFSET($BN$2,0,0,ROW()-1,60),ROW()-1,FALSE))</f>
        <v>0.57628621300000005</v>
      </c>
      <c r="N14">
        <f ca="1">IF(AND($B$185=1,LEN($N$207) * LEN($N$208)&gt;0),($N$207/$N$208)*100,HLOOKUP(INDIRECT(ADDRESS(2,COLUMN())),OFFSET($BN$2,0,0,ROW()-1,60),ROW()-1,FALSE))</f>
        <v>0.28367152000000001</v>
      </c>
      <c r="O14">
        <f ca="1">IF(AND($B$185=1,LEN($O$207) * LEN($O$208)&gt;0),($O$207/$O$208)*100,HLOOKUP(INDIRECT(ADDRESS(2,COLUMN())),OFFSET($BN$2,0,0,ROW()-1,60),ROW()-1,FALSE))</f>
        <v>0.95977503399999997</v>
      </c>
      <c r="P14">
        <f ca="1">IF(AND($B$185=1,LEN($P$207) * LEN($P$208)&gt;0),($P$207/$P$208)*100,HLOOKUP(INDIRECT(ADDRESS(2,COLUMN())),OFFSET($BN$2,0,0,ROW()-1,60),ROW()-1,FALSE))</f>
        <v>1.230669054</v>
      </c>
      <c r="Q14">
        <f ca="1">IF(AND($B$185=1,LEN($Q$207) * LEN($Q$208)&gt;0),($Q$207/$Q$208)*100,HLOOKUP(INDIRECT(ADDRESS(2,COLUMN())),OFFSET($BN$2,0,0,ROW()-1,60),ROW()-1,FALSE))</f>
        <v>1.4975420779999999</v>
      </c>
      <c r="R14">
        <f ca="1">IF(AND($B$185=1,LEN($R$207) * LEN($R$208)&gt;0),($R$207/$R$208)*100,HLOOKUP(INDIRECT(ADDRESS(2,COLUMN())),OFFSET($BN$2,0,0,ROW()-1,60),ROW()-1,FALSE))</f>
        <v>1.076665413</v>
      </c>
      <c r="S14">
        <f ca="1">IF(AND($B$185=1,LEN($S$207) * LEN($S$208)&gt;0),($S$207/$S$208)*100,HLOOKUP(INDIRECT(ADDRESS(2,COLUMN())),OFFSET($BN$2,0,0,ROW()-1,60),ROW()-1,FALSE))</f>
        <v>2.0238135389999998</v>
      </c>
      <c r="T14">
        <f ca="1">IF(AND($B$185=1,LEN($T$207) * LEN($T$208)&gt;0),($T$207/$T$208)*100,HLOOKUP(INDIRECT(ADDRESS(2,COLUMN())),OFFSET($BN$2,0,0,ROW()-1,60),ROW()-1,FALSE))</f>
        <v>1.8078020930000001</v>
      </c>
      <c r="U14">
        <f ca="1">IF(AND($B$185=1,LEN($U$207) * LEN($U$208)&gt;0),($U$207/$U$208)*100,HLOOKUP(INDIRECT(ADDRESS(2,COLUMN())),OFFSET($BN$2,0,0,ROW()-1,60),ROW()-1,FALSE))</f>
        <v>2.1818632619999998</v>
      </c>
      <c r="V14">
        <f ca="1">IF(AND($B$185=1,LEN($V$207) * LEN($V$208)&gt;0),($V$207/$V$208)*100,HLOOKUP(INDIRECT(ADDRESS(2,COLUMN())),OFFSET($BN$2,0,0,ROW()-1,60),ROW()-1,FALSE))</f>
        <v>2.6146241689999998</v>
      </c>
      <c r="W14">
        <f ca="1">IF(AND($B$185=1,LEN($W$207) * LEN($W$208)&gt;0),($W$207/$W$208)*100,HLOOKUP(INDIRECT(ADDRESS(2,COLUMN())),OFFSET($BN$2,0,0,ROW()-1,60),ROW()-1,FALSE))</f>
        <v>3.7156041700000002</v>
      </c>
      <c r="X14">
        <f ca="1">IF(AND($B$185=1,LEN($X$207) * LEN($X$208)&gt;0),($X$207/$X$208)*100,HLOOKUP(INDIRECT(ADDRESS(2,COLUMN())),OFFSET($BN$2,0,0,ROW()-1,60),ROW()-1,FALSE))</f>
        <v>2.7724867720000002</v>
      </c>
      <c r="Y14">
        <f ca="1">IF(AND($B$185=1,LEN($Y$207) * LEN($Y$208)&gt;0),($Y$207/$Y$208)*100,HLOOKUP(INDIRECT(ADDRESS(2,COLUMN())),OFFSET($BN$2,0,0,ROW()-1,60),ROW()-1,FALSE))</f>
        <v>1.131301704</v>
      </c>
      <c r="Z14" t="str">
        <f ca="1">IF(AND($B$185=1,LEN($Z$207) * LEN($Z$208)&gt;0),($Z$207/$Z$208)*100,HLOOKUP(INDIRECT(ADDRESS(2,COLUMN())),OFFSET($BN$2,0,0,ROW()-1,60),ROW()-1,FALSE))</f>
        <v/>
      </c>
      <c r="AA14">
        <f ca="1">IF(AND($B$185=1,LEN($AA$207) * LEN($AA$208)&gt;0),($AA$207/$AA$208)*100,HLOOKUP(INDIRECT(ADDRESS(2,COLUMN())),OFFSET($BN$2,0,0,ROW()-1,60),ROW()-1,FALSE))</f>
        <v>3.0282339290000002</v>
      </c>
      <c r="AB14">
        <f ca="1">IF(AND($B$185=1,LEN($AB$207) * LEN($AB$208)&gt;0),($AB$207/$AB$208)*100,HLOOKUP(INDIRECT(ADDRESS(2,COLUMN())),OFFSET($BN$2,0,0,ROW()-1,60),ROW()-1,FALSE))</f>
        <v>0.97053605600000004</v>
      </c>
      <c r="AC14">
        <f ca="1">IF(AND($B$185=1,LEN($AC$207) * LEN($AC$208)&gt;0),($AC$207/$AC$208)*100,HLOOKUP(INDIRECT(ADDRESS(2,COLUMN())),OFFSET($BN$2,0,0,ROW()-1,60),ROW()-1,FALSE))</f>
        <v>1.3597500259999999</v>
      </c>
      <c r="AD14">
        <f ca="1">IF(AND($B$185=1,LEN($AD$207) * LEN($AD$208)&gt;0),($AD$207/$AD$208)*100,HLOOKUP(INDIRECT(ADDRESS(2,COLUMN())),OFFSET($BN$2,0,0,ROW()-1,60),ROW()-1,FALSE))</f>
        <v>0.77750967100000001</v>
      </c>
      <c r="AE14">
        <f ca="1">IF(AND($B$185=1,LEN($AE$207) * LEN($AE$208)&gt;0),($AE$207/$AE$208)*100,HLOOKUP(INDIRECT(ADDRESS(2,COLUMN())),OFFSET($BN$2,0,0,ROW()-1,60),ROW()-1,FALSE))</f>
        <v>0.96111518699999998</v>
      </c>
      <c r="AF14">
        <f ca="1">IF(AND($B$185=1,LEN($AF$207) * LEN($AF$208)&gt;0),($AF$207/$AF$208)*100,HLOOKUP(INDIRECT(ADDRESS(2,COLUMN())),OFFSET($BN$2,0,0,ROW()-1,60),ROW()-1,FALSE))</f>
        <v>1.167441358</v>
      </c>
      <c r="AG14">
        <f ca="1">IF(AND($B$185=1,LEN($AG$207) * LEN($AG$208)&gt;0),($AG$207/$AG$208)*100,HLOOKUP(INDIRECT(ADDRESS(2,COLUMN())),OFFSET($BN$2,0,0,ROW()-1,60),ROW()-1,FALSE))</f>
        <v>1.6662486110000001</v>
      </c>
      <c r="AH14">
        <f ca="1">IF(AND($B$185=1,LEN($AH$207) * LEN($AH$208)&gt;0),($AH$207/$AH$208)*100,HLOOKUP(INDIRECT(ADDRESS(2,COLUMN())),OFFSET($BN$2,0,0,ROW()-1,60),ROW()-1,FALSE))</f>
        <v>1.5608827059999999</v>
      </c>
      <c r="AI14">
        <f ca="1">IF(AND($B$185=1,LEN($AI$207) * LEN($AI$208)&gt;0),($AI$207/$AI$208)*100,HLOOKUP(INDIRECT(ADDRESS(2,COLUMN())),OFFSET($BN$2,0,0,ROW()-1,60),ROW()-1,FALSE))</f>
        <v>1.693911395</v>
      </c>
      <c r="AJ14">
        <f ca="1">IF(AND($B$185=1,LEN($AJ$207) * LEN($AJ$208)&gt;0),($AJ$207/$AJ$208)*100,HLOOKUP(INDIRECT(ADDRESS(2,COLUMN())),OFFSET($BN$2,0,0,ROW()-1,60),ROW()-1,FALSE))</f>
        <v>1.5700905519999999</v>
      </c>
      <c r="AK14">
        <f ca="1">IF(AND($B$185=1,LEN($AK$207) * LEN($AK$208)&gt;0),($AK$207/$AK$208)*100,HLOOKUP(INDIRECT(ADDRESS(2,COLUMN())),OFFSET($BN$2,0,0,ROW()-1,60),ROW()-1,FALSE))</f>
        <v>1.627972252</v>
      </c>
      <c r="AL14">
        <f ca="1">IF(AND($B$185=1,LEN($AL$207) * LEN($AL$208)&gt;0),($AL$207/$AL$208)*100,HLOOKUP(INDIRECT(ADDRESS(2,COLUMN())),OFFSET($BN$2,0,0,ROW()-1,60),ROW()-1,FALSE))</f>
        <v>2.186002738</v>
      </c>
      <c r="AM14">
        <f ca="1">IF(AND($B$185=1,LEN($AM$207) * LEN($AM$208)&gt;0),($AM$207/$AM$208)*100,HLOOKUP(INDIRECT(ADDRESS(2,COLUMN())),OFFSET($BN$2,0,0,ROW()-1,60),ROW()-1,FALSE))</f>
        <v>2.529080371</v>
      </c>
      <c r="AN14">
        <f ca="1">IF(AND($B$185=1,LEN($AN$207) * LEN($AN$208)&gt;0),($AN$207/$AN$208)*100,HLOOKUP(INDIRECT(ADDRESS(2,COLUMN())),OFFSET($BN$2,0,0,ROW()-1,60),ROW()-1,FALSE))</f>
        <v>2.8260869569999998</v>
      </c>
      <c r="AO14">
        <f ca="1">IF(AND($B$185=1,LEN($AO$207) * LEN($AO$208)&gt;0),($AO$207/$AO$208)*100,HLOOKUP(INDIRECT(ADDRESS(2,COLUMN())),OFFSET($BN$2,0,0,ROW()-1,60),ROW()-1,FALSE))</f>
        <v>2.8701751369999999</v>
      </c>
      <c r="AP14">
        <f ca="1">IF(AND($B$185=1,LEN($AP$207) * LEN($AP$208)&gt;0),($AP$207/$AP$208)*100,HLOOKUP(INDIRECT(ADDRESS(2,COLUMN())),OFFSET($BN$2,0,0,ROW()-1,60),ROW()-1,FALSE))</f>
        <v>2.429538999</v>
      </c>
      <c r="AQ14">
        <f ca="1">IF(AND($B$185=1,LEN($AQ$207) * LEN($AQ$208)&gt;0),($AQ$207/$AQ$208)*100,HLOOKUP(INDIRECT(ADDRESS(2,COLUMN())),OFFSET($BN$2,0,0,ROW()-1,60),ROW()-1,FALSE))</f>
        <v>2.0588235290000001</v>
      </c>
      <c r="AR14">
        <f ca="1">IF(AND($B$185=1,LEN($AR$207) * LEN($AR$208)&gt;0),($AR$207/$AR$208)*100,HLOOKUP(INDIRECT(ADDRESS(2,COLUMN())),OFFSET($BN$2,0,0,ROW()-1,60),ROW()-1,FALSE))</f>
        <v>3.2882580209999999</v>
      </c>
      <c r="AS14">
        <f ca="1">IF(AND($B$185=1,LEN($AS$207) * LEN($AS$208)&gt;0),($AS$207/$AS$208)*100,HLOOKUP(INDIRECT(ADDRESS(2,COLUMN())),OFFSET($BN$2,0,0,ROW()-1,60),ROW()-1,FALSE))</f>
        <v>2.9294440289999999</v>
      </c>
      <c r="AT14">
        <f ca="1">IF(AND($B$185=1,LEN($AT$207) * LEN($AT$208)&gt;0),($AT$207/$AT$208)*100,HLOOKUP(INDIRECT(ADDRESS(2,COLUMN())),OFFSET($BN$2,0,0,ROW()-1,60),ROW()-1,FALSE))</f>
        <v>3.758241758</v>
      </c>
      <c r="AU14">
        <f ca="1">IF(AND($B$185=1,LEN($AU$207) * LEN($AU$208)&gt;0),($AU$207/$AU$208)*100,HLOOKUP(INDIRECT(ADDRESS(2,COLUMN())),OFFSET($BN$2,0,0,ROW()-1,60),ROW()-1,FALSE))</f>
        <v>3.6903837510000002</v>
      </c>
      <c r="AV14">
        <f ca="1">IF(AND($B$185=1,LEN($AV$207) * LEN($AV$208)&gt;0),($AV$207/$AV$208)*100,HLOOKUP(INDIRECT(ADDRESS(2,COLUMN())),OFFSET($BN$2,0,0,ROW()-1,60),ROW()-1,FALSE))</f>
        <v>5.2313801770000001</v>
      </c>
      <c r="AW14">
        <f ca="1">IF(AND($B$185=1,LEN($AW$207) * LEN($AW$208)&gt;0),($AW$207/$AW$208)*100,HLOOKUP(INDIRECT(ADDRESS(2,COLUMN())),OFFSET($BN$2,0,0,ROW()-1,60),ROW()-1,FALSE))</f>
        <v>2.2140857199999999</v>
      </c>
      <c r="AX14">
        <f ca="1">IF(AND($B$185=1,LEN($AX$207) * LEN($AX$208)&gt;0),($AX$207/$AX$208)*100,HLOOKUP(INDIRECT(ADDRESS(2,COLUMN())),OFFSET($BN$2,0,0,ROW()-1,60),ROW()-1,FALSE))</f>
        <v>4.7028847809999998</v>
      </c>
      <c r="AY14">
        <f ca="1">IF(AND($B$185=1,LEN($AY$207) * LEN($AY$208)&gt;0),($AY$207/$AY$208)*100,HLOOKUP(INDIRECT(ADDRESS(2,COLUMN())),OFFSET($BN$2,0,0,ROW()-1,60),ROW()-1,FALSE))</f>
        <v>3.6380153129999999</v>
      </c>
      <c r="AZ14">
        <f ca="1">IF(AND($B$185=1,LEN($AZ$207) * LEN($AZ$208)&gt;0),($AZ$207/$AZ$208)*100,HLOOKUP(INDIRECT(ADDRESS(2,COLUMN())),OFFSET($BN$2,0,0,ROW()-1,60),ROW()-1,FALSE))</f>
        <v>7.2309706079999998</v>
      </c>
      <c r="BA14">
        <f ca="1">IF(AND($B$185=1,LEN($BA$207) * LEN($BA$208)&gt;0),($BA$207/$BA$208)*100,HLOOKUP(INDIRECT(ADDRESS(2,COLUMN())),OFFSET($BN$2,0,0,ROW()-1,60),ROW()-1,FALSE))</f>
        <v>5.7797946019999999</v>
      </c>
      <c r="BB14">
        <f ca="1">IF(AND($B$185=1,LEN($BB$207) * LEN($BB$208)&gt;0),($BB$207/$BB$208)*100,HLOOKUP(INDIRECT(ADDRESS(2,COLUMN())),OFFSET($BN$2,0,0,ROW()-1,60),ROW()-1,FALSE))</f>
        <v>8.6035598019999995</v>
      </c>
      <c r="BC14">
        <f ca="1">IF(AND($B$185=1,LEN($BC$207) * LEN($BC$208)&gt;0),($BC$207/$BC$208)*100,HLOOKUP(INDIRECT(ADDRESS(2,COLUMN())),OFFSET($BN$2,0,0,ROW()-1,60),ROW()-1,FALSE))</f>
        <v>9.4527956730000007</v>
      </c>
      <c r="BD14">
        <f ca="1">IF(AND($B$185=1,LEN($BD$207) * LEN($BD$208)&gt;0),($BD$207/$BD$208)*100,HLOOKUP(INDIRECT(ADDRESS(2,COLUMN())),OFFSET($BN$2,0,0,ROW()-1,60),ROW()-1,FALSE))</f>
        <v>10.211902609999999</v>
      </c>
      <c r="BE14">
        <f ca="1">IF(AND($B$185=1,LEN($BE$207) * LEN($BE$208)&gt;0),($BE$207/$BE$208)*100,HLOOKUP(INDIRECT(ADDRESS(2,COLUMN())),OFFSET($BN$2,0,0,ROW()-1,60),ROW()-1,FALSE))</f>
        <v>7.7153385539999997</v>
      </c>
      <c r="BF14">
        <f ca="1">IF(AND($B$185=1,LEN($BF$207) * LEN($BF$208)&gt;0),($BF$207/$BF$208)*100,HLOOKUP(INDIRECT(ADDRESS(2,COLUMN())),OFFSET($BN$2,0,0,ROW()-1,60),ROW()-1,FALSE))</f>
        <v>3.3766475709999999</v>
      </c>
      <c r="BG14">
        <f ca="1">IF(AND($B$185=1,LEN($BG$207) * LEN($BG$208)&gt;0),($BG$207/$BG$208)*100,HLOOKUP(INDIRECT(ADDRESS(2,COLUMN())),OFFSET($BN$2,0,0,ROW()-1,60),ROW()-1,FALSE))</f>
        <v>5.8073475569999999</v>
      </c>
      <c r="BH14">
        <f ca="1">IF(AND($B$185=1,LEN($BH$207) * LEN($BH$208)&gt;0),($BH$207/$BH$208)*100,HLOOKUP(INDIRECT(ADDRESS(2,COLUMN())),OFFSET($BN$2,0,0,ROW()-1,60),ROW()-1,FALSE))</f>
        <v>4.1188991369999997</v>
      </c>
      <c r="BI14">
        <f ca="1">IF(AND($B$185=1,LEN($BI$207) * LEN($BI$208)&gt;0),($BI$207/$BI$208)*100,HLOOKUP(INDIRECT(ADDRESS(2,COLUMN())),OFFSET($BN$2,0,0,ROW()-1,60),ROW()-1,FALSE))</f>
        <v>-1.930930574</v>
      </c>
      <c r="BJ14">
        <f ca="1">IF(AND($B$185=1,LEN($BJ$207) * LEN($BJ$208)&gt;0),($BJ$207/$BJ$208)*100,HLOOKUP(INDIRECT(ADDRESS(2,COLUMN())),OFFSET($BN$2,0,0,ROW()-1,60),ROW()-1,FALSE))</f>
        <v>6.1958770789999997</v>
      </c>
      <c r="BK14">
        <f ca="1">IF(AND($B$185=1,LEN($BK$207) * LEN($BK$208)&gt;0),($BK$207/$BK$208)*100,HLOOKUP(INDIRECT(ADDRESS(2,COLUMN())),OFFSET($BN$2,0,0,ROW()-1,60),ROW()-1,FALSE))</f>
        <v>2.9675957020000001</v>
      </c>
      <c r="BL14">
        <f ca="1">IF(AND($B$185=1,LEN($BL$207) * LEN($BL$208)&gt;0),($BL$207/$BL$208)*100,HLOOKUP(INDIRECT(ADDRESS(2,COLUMN())),OFFSET($BN$2,0,0,ROW()-1,60),ROW()-1,FALSE))</f>
        <v>3.5377076609999998</v>
      </c>
      <c r="BM14">
        <f ca="1">IF(AND($B$185=1,LEN($BM$207) * LEN($BM$208)&gt;0),($BM$207/$BM$208)*100,HLOOKUP(INDIRECT(ADDRESS(2,COLUMN())),OFFSET($BN$2,0,0,ROW()-1,60),ROW()-1,FALSE))</f>
        <v>2.3779408040000001</v>
      </c>
      <c r="BN14">
        <f>0.87916199</f>
        <v>0.87916198999999995</v>
      </c>
      <c r="BO14">
        <f>0.942467295</f>
        <v>0.94246729500000004</v>
      </c>
      <c r="BP14">
        <f>0.693227092</f>
        <v>0.69322709199999999</v>
      </c>
      <c r="BQ14">
        <f>0.655792436</f>
        <v>0.65579243600000003</v>
      </c>
      <c r="BR14">
        <f>0.681806398</f>
        <v>0.68180639799999998</v>
      </c>
      <c r="BS14">
        <f>1.038270552</f>
        <v>1.038270552</v>
      </c>
      <c r="BT14">
        <f>0.673009417</f>
        <v>0.67300941700000005</v>
      </c>
      <c r="BU14">
        <f>0.576286213</f>
        <v>0.57628621300000005</v>
      </c>
      <c r="BV14">
        <f>0.28367152</f>
        <v>0.28367152000000001</v>
      </c>
      <c r="BW14">
        <f>0.959775034</f>
        <v>0.95977503399999997</v>
      </c>
      <c r="BX14">
        <f>1.230669054</f>
        <v>1.230669054</v>
      </c>
      <c r="BY14">
        <f>1.497542078</f>
        <v>1.4975420779999999</v>
      </c>
      <c r="BZ14">
        <f>1.076665413</f>
        <v>1.076665413</v>
      </c>
      <c r="CA14">
        <f>2.023813539</f>
        <v>2.0238135389999998</v>
      </c>
      <c r="CB14">
        <f>1.807802093</f>
        <v>1.8078020930000001</v>
      </c>
      <c r="CC14">
        <f>2.181863262</f>
        <v>2.1818632619999998</v>
      </c>
      <c r="CD14">
        <f>2.614624169</f>
        <v>2.6146241689999998</v>
      </c>
      <c r="CE14">
        <f>3.71560417</f>
        <v>3.7156041700000002</v>
      </c>
      <c r="CF14">
        <f>2.772486772</f>
        <v>2.7724867720000002</v>
      </c>
      <c r="CG14">
        <f>1.131301704</f>
        <v>1.131301704</v>
      </c>
      <c r="CH14" t="str">
        <f>""</f>
        <v/>
      </c>
      <c r="CI14">
        <f>3.028233929</f>
        <v>3.0282339290000002</v>
      </c>
      <c r="CJ14">
        <f>0.970536056</f>
        <v>0.97053605600000004</v>
      </c>
      <c r="CK14">
        <f>1.359750026</f>
        <v>1.3597500259999999</v>
      </c>
      <c r="CL14">
        <f>0.777509671</f>
        <v>0.77750967100000001</v>
      </c>
      <c r="CM14">
        <f>0.961115187</f>
        <v>0.96111518699999998</v>
      </c>
      <c r="CN14">
        <f>1.167441358</f>
        <v>1.167441358</v>
      </c>
      <c r="CO14">
        <f>1.666248611</f>
        <v>1.6662486110000001</v>
      </c>
      <c r="CP14">
        <f>1.560882706</f>
        <v>1.5608827059999999</v>
      </c>
      <c r="CQ14">
        <f>1.693911395</f>
        <v>1.693911395</v>
      </c>
      <c r="CR14">
        <f>1.570090552</f>
        <v>1.5700905519999999</v>
      </c>
      <c r="CS14">
        <f>1.627972252</f>
        <v>1.627972252</v>
      </c>
      <c r="CT14">
        <f>2.186002738</f>
        <v>2.186002738</v>
      </c>
      <c r="CU14">
        <f>2.529080371</f>
        <v>2.529080371</v>
      </c>
      <c r="CV14">
        <f>2.826086957</f>
        <v>2.8260869569999998</v>
      </c>
      <c r="CW14">
        <f>2.870175137</f>
        <v>2.8701751369999999</v>
      </c>
      <c r="CX14">
        <f>2.429538999</f>
        <v>2.429538999</v>
      </c>
      <c r="CY14">
        <f>2.058823529</f>
        <v>2.0588235290000001</v>
      </c>
      <c r="CZ14">
        <f>3.288258021</f>
        <v>3.2882580209999999</v>
      </c>
      <c r="DA14">
        <f>2.929444029</f>
        <v>2.9294440289999999</v>
      </c>
      <c r="DB14">
        <f>3.758241758</f>
        <v>3.758241758</v>
      </c>
      <c r="DC14">
        <f>3.690383751</f>
        <v>3.6903837510000002</v>
      </c>
      <c r="DD14">
        <f>5.231380177</f>
        <v>5.2313801770000001</v>
      </c>
      <c r="DE14">
        <f>2.21408572</f>
        <v>2.2140857199999999</v>
      </c>
      <c r="DF14">
        <f>4.702884781</f>
        <v>4.7028847809999998</v>
      </c>
      <c r="DG14">
        <f>3.638015313</f>
        <v>3.6380153129999999</v>
      </c>
      <c r="DH14">
        <f>7.230970608</f>
        <v>7.2309706079999998</v>
      </c>
      <c r="DI14">
        <f>5.779794602</f>
        <v>5.7797946019999999</v>
      </c>
      <c r="DJ14">
        <f>8.603559802</f>
        <v>8.6035598019999995</v>
      </c>
      <c r="DK14">
        <f>9.452795673</f>
        <v>9.4527956730000007</v>
      </c>
      <c r="DL14">
        <f>10.21190261</f>
        <v>10.211902609999999</v>
      </c>
      <c r="DM14">
        <f>7.715338554</f>
        <v>7.7153385539999997</v>
      </c>
      <c r="DN14">
        <f>3.376647571</f>
        <v>3.3766475709999999</v>
      </c>
      <c r="DO14">
        <f>5.807347557</f>
        <v>5.8073475569999999</v>
      </c>
      <c r="DP14">
        <f>4.118899137</f>
        <v>4.1188991369999997</v>
      </c>
      <c r="DQ14">
        <f>-1.930930574</f>
        <v>-1.930930574</v>
      </c>
      <c r="DR14">
        <f>6.195877079</f>
        <v>6.1958770789999997</v>
      </c>
      <c r="DS14">
        <f>2.967595702</f>
        <v>2.9675957020000001</v>
      </c>
      <c r="DT14">
        <f>3.537707661</f>
        <v>3.5377076609999998</v>
      </c>
      <c r="DU14">
        <f>2.377940804</f>
        <v>2.3779408040000001</v>
      </c>
    </row>
    <row r="15" spans="1:125">
      <c r="A15" t="str">
        <f>"    KeyCorp"</f>
        <v xml:space="preserve">    KeyCorp</v>
      </c>
      <c r="B15" t="str">
        <f>"KEY US Equity"</f>
        <v>KEY US Equity</v>
      </c>
      <c r="E15" t="str">
        <f t="shared" si="0"/>
        <v>Expression</v>
      </c>
      <c r="F15" t="e">
        <f ca="1">IF(AND($B$185=1,LEN($F$209) * LEN($F$210)&gt;0),($F$209/$F$210)*100,HLOOKUP(INDIRECT(ADDRESS(2,COLUMN())),OFFSET($BN$2,0,0,ROW()-1,60),ROW()-1,FALSE))</f>
        <v>#NAME?</v>
      </c>
      <c r="G15">
        <f ca="1">IF(AND($B$185=1,LEN($G$209) * LEN($G$210)&gt;0),($G$209/$G$210)*100,HLOOKUP(INDIRECT(ADDRESS(2,COLUMN())),OFFSET($BN$2,0,0,ROW()-1,60),ROW()-1,FALSE))</f>
        <v>1.7569546119999999</v>
      </c>
      <c r="H15">
        <f ca="1">IF(AND($B$185=1,LEN($H$209) * LEN($H$210)&gt;0),($H$209/$H$210)*100,HLOOKUP(INDIRECT(ADDRESS(2,COLUMN())),OFFSET($BN$2,0,0,ROW()-1,60),ROW()-1,FALSE))</f>
        <v>1.05680317</v>
      </c>
      <c r="I15">
        <f ca="1">IF(AND($B$185=1,LEN($I$209) * LEN($I$210)&gt;0),($I$209/$I$210)*100,HLOOKUP(INDIRECT(ADDRESS(2,COLUMN())),OFFSET($BN$2,0,0,ROW()-1,60),ROW()-1,FALSE))</f>
        <v>0.91984231299999997</v>
      </c>
      <c r="J15">
        <f ca="1">IF(AND($B$185=1,LEN($J$209) * LEN($J$210)&gt;0),($J$209/$J$210)*100,HLOOKUP(INDIRECT(ADDRESS(2,COLUMN())),OFFSET($BN$2,0,0,ROW()-1,60),ROW()-1,FALSE))</f>
        <v>0.71848465100000003</v>
      </c>
      <c r="K15">
        <f ca="1">IF(AND($B$185=1,LEN($K$209) * LEN($K$210)&gt;0),($K$209/$K$210)*100,HLOOKUP(INDIRECT(ADDRESS(2,COLUMN())),OFFSET($BN$2,0,0,ROW()-1,60),ROW()-1,FALSE))</f>
        <v>0.96277278600000005</v>
      </c>
      <c r="L15">
        <f ca="1">IF(AND($B$185=1,LEN($L$209) * LEN($L$210)&gt;0),($L$209/$L$210)*100,HLOOKUP(INDIRECT(ADDRESS(2,COLUMN())),OFFSET($BN$2,0,0,ROW()-1,60),ROW()-1,FALSE))</f>
        <v>0.88216761200000005</v>
      </c>
      <c r="M15">
        <f ca="1">IF(AND($B$185=1,LEN($M$209) * LEN($M$210)&gt;0),($M$209/$M$210)*100,HLOOKUP(INDIRECT(ADDRESS(2,COLUMN())),OFFSET($BN$2,0,0,ROW()-1,60),ROW()-1,FALSE))</f>
        <v>0.64440538999999997</v>
      </c>
      <c r="N15">
        <f ca="1">IF(AND($B$185=1,LEN($N$209) * LEN($N$210)&gt;0),($N$209/$N$210)*100,HLOOKUP(INDIRECT(ADDRESS(2,COLUMN())),OFFSET($BN$2,0,0,ROW()-1,60),ROW()-1,FALSE))</f>
        <v>0.47593865699999999</v>
      </c>
      <c r="O15">
        <f ca="1">IF(AND($B$185=1,LEN($O$209) * LEN($O$210)&gt;0),($O$209/$O$210)*100,HLOOKUP(INDIRECT(ADDRESS(2,COLUMN())),OFFSET($BN$2,0,0,ROW()-1,60),ROW()-1,FALSE))</f>
        <v>0.74507716899999998</v>
      </c>
      <c r="P15">
        <f ca="1">IF(AND($B$185=1,LEN($P$209) * LEN($P$210)&gt;0),($P$209/$P$210)*100,HLOOKUP(INDIRECT(ADDRESS(2,COLUMN())),OFFSET($BN$2,0,0,ROW()-1,60),ROW()-1,FALSE))</f>
        <v>0.78431372600000004</v>
      </c>
      <c r="Q15">
        <f ca="1">IF(AND($B$185=1,LEN($Q$209) * LEN($Q$210)&gt;0),($Q$209/$Q$210)*100,HLOOKUP(INDIRECT(ADDRESS(2,COLUMN())),OFFSET($BN$2,0,0,ROW()-1,60),ROW()-1,FALSE))</f>
        <v>1.2426035499999999</v>
      </c>
      <c r="R15">
        <f ca="1">IF(AND($B$185=1,LEN($R$209) * LEN($R$210)&gt;0),($R$209/$R$210)*100,HLOOKUP(INDIRECT(ADDRESS(2,COLUMN())),OFFSET($BN$2,0,0,ROW()-1,60),ROW()-1,FALSE))</f>
        <v>1.2873326469999999</v>
      </c>
      <c r="S15">
        <f ca="1">IF(AND($B$185=1,LEN($S$209) * LEN($S$210)&gt;0),($S$209/$S$210)*100,HLOOKUP(INDIRECT(ADDRESS(2,COLUMN())),OFFSET($BN$2,0,0,ROW()-1,60),ROW()-1,FALSE))</f>
        <v>1.820187534</v>
      </c>
      <c r="T15">
        <f ca="1">IF(AND($B$185=1,LEN($T$209) * LEN($T$210)&gt;0),($T$209/$T$210)*100,HLOOKUP(INDIRECT(ADDRESS(2,COLUMN())),OFFSET($BN$2,0,0,ROW()-1,60),ROW()-1,FALSE))</f>
        <v>1.4714204870000001</v>
      </c>
      <c r="U15">
        <f ca="1">IF(AND($B$185=1,LEN($U$209) * LEN($U$210)&gt;0),($U$209/$U$210)*100,HLOOKUP(INDIRECT(ADDRESS(2,COLUMN())),OFFSET($BN$2,0,0,ROW()-1,60),ROW()-1,FALSE))</f>
        <v>2.6965002870000001</v>
      </c>
      <c r="V15">
        <f ca="1">IF(AND($B$185=1,LEN($V$209) * LEN($V$210)&gt;0),($V$209/$V$210)*100,HLOOKUP(INDIRECT(ADDRESS(2,COLUMN())),OFFSET($BN$2,0,0,ROW()-1,60),ROW()-1,FALSE))</f>
        <v>2.3407729989999999</v>
      </c>
      <c r="W15">
        <f ca="1">IF(AND($B$185=1,LEN($W$209) * LEN($W$210)&gt;0),($W$209/$W$210)*100,HLOOKUP(INDIRECT(ADDRESS(2,COLUMN())),OFFSET($BN$2,0,0,ROW()-1,60),ROW()-1,FALSE))</f>
        <v>3.033908388</v>
      </c>
      <c r="X15">
        <f ca="1">IF(AND($B$185=1,LEN($X$209) * LEN($X$210)&gt;0),($X$209/$X$210)*100,HLOOKUP(INDIRECT(ADDRESS(2,COLUMN())),OFFSET($BN$2,0,0,ROW()-1,60),ROW()-1,FALSE))</f>
        <v>3.625730994</v>
      </c>
      <c r="Y15">
        <f ca="1">IF(AND($B$185=1,LEN($Y$209) * LEN($Y$210)&gt;0),($Y$209/$Y$210)*100,HLOOKUP(INDIRECT(ADDRESS(2,COLUMN())),OFFSET($BN$2,0,0,ROW()-1,60),ROW()-1,FALSE))</f>
        <v>1.371742112</v>
      </c>
      <c r="Z15">
        <f ca="1">IF(AND($B$185=1,LEN($Z$209) * LEN($Z$210)&gt;0),($Z$209/$Z$210)*100,HLOOKUP(INDIRECT(ADDRESS(2,COLUMN())),OFFSET($BN$2,0,0,ROW()-1,60),ROW()-1,FALSE))</f>
        <v>1.288343558</v>
      </c>
      <c r="AA15">
        <f ca="1">IF(AND($B$185=1,LEN($AA$209) * LEN($AA$210)&gt;0),($AA$209/$AA$210)*100,HLOOKUP(INDIRECT(ADDRESS(2,COLUMN())),OFFSET($BN$2,0,0,ROW()-1,60),ROW()-1,FALSE))</f>
        <v>0.98643649799999999</v>
      </c>
      <c r="AB15">
        <f ca="1">IF(AND($B$185=1,LEN($AB$209) * LEN($AB$210)&gt;0),($AB$209/$AB$210)*100,HLOOKUP(INDIRECT(ADDRESS(2,COLUMN())),OFFSET($BN$2,0,0,ROW()-1,60),ROW()-1,FALSE))</f>
        <v>0.93574547699999999</v>
      </c>
      <c r="AC15">
        <f ca="1">IF(AND($B$185=1,LEN($AC$209) * LEN($AC$210)&gt;0),($AC$209/$AC$210)*100,HLOOKUP(INDIRECT(ADDRESS(2,COLUMN())),OFFSET($BN$2,0,0,ROW()-1,60),ROW()-1,FALSE))</f>
        <v>0.52875082600000001</v>
      </c>
      <c r="AD15" t="str">
        <f ca="1">IF(AND($B$185=1,LEN($AD$209) * LEN($AD$210)&gt;0),($AD$209/$AD$210)*100,HLOOKUP(INDIRECT(ADDRESS(2,COLUMN())),OFFSET($BN$2,0,0,ROW()-1,60),ROW()-1,FALSE))</f>
        <v/>
      </c>
      <c r="AE15">
        <f ca="1">IF(AND($B$185=1,LEN($AE$209) * LEN($AE$210)&gt;0),($AE$209/$AE$210)*100,HLOOKUP(INDIRECT(ADDRESS(2,COLUMN())),OFFSET($BN$2,0,0,ROW()-1,60),ROW()-1,FALSE))</f>
        <v>0.56426332300000004</v>
      </c>
      <c r="AF15">
        <f ca="1">IF(AND($B$185=1,LEN($AF$209) * LEN($AF$210)&gt;0),($AF$209/$AF$210)*100,HLOOKUP(INDIRECT(ADDRESS(2,COLUMN())),OFFSET($BN$2,0,0,ROW()-1,60),ROW()-1,FALSE))</f>
        <v>0.42708968899999999</v>
      </c>
      <c r="AG15">
        <f ca="1">IF(AND($B$185=1,LEN($AG$209) * LEN($AG$210)&gt;0),($AG$209/$AG$210)*100,HLOOKUP(INDIRECT(ADDRESS(2,COLUMN())),OFFSET($BN$2,0,0,ROW()-1,60),ROW()-1,FALSE))</f>
        <v>0.45307443400000003</v>
      </c>
      <c r="AH15">
        <f ca="1">IF(AND($B$185=1,LEN($AH$209) * LEN($AH$210)&gt;0),($AH$209/$AH$210)*100,HLOOKUP(INDIRECT(ADDRESS(2,COLUMN())),OFFSET($BN$2,0,0,ROW()-1,60),ROW()-1,FALSE))</f>
        <v>0.4391468</v>
      </c>
      <c r="AI15">
        <f ca="1">IF(AND($B$185=1,LEN($AI$209) * LEN($AI$210)&gt;0),($AI$209/$AI$210)*100,HLOOKUP(INDIRECT(ADDRESS(2,COLUMN())),OFFSET($BN$2,0,0,ROW()-1,60),ROW()-1,FALSE))</f>
        <v>0.45454545499999999</v>
      </c>
      <c r="AJ15">
        <f ca="1">IF(AND($B$185=1,LEN($AJ$209) * LEN($AJ$210)&gt;0),($AJ$209/$AJ$210)*100,HLOOKUP(INDIRECT(ADDRESS(2,COLUMN())),OFFSET($BN$2,0,0,ROW()-1,60),ROW()-1,FALSE))</f>
        <v>0.36900369</v>
      </c>
      <c r="AK15">
        <f ca="1">IF(AND($B$185=1,LEN($AK$209) * LEN($AK$210)&gt;0),($AK$209/$AK$210)*100,HLOOKUP(INDIRECT(ADDRESS(2,COLUMN())),OFFSET($BN$2,0,0,ROW()-1,60),ROW()-1,FALSE))</f>
        <v>0.401337793</v>
      </c>
      <c r="AL15">
        <f ca="1">IF(AND($B$185=1,LEN($AL$209) * LEN($AL$210)&gt;0),($AL$209/$AL$210)*100,HLOOKUP(INDIRECT(ADDRESS(2,COLUMN())),OFFSET($BN$2,0,0,ROW()-1,60),ROW()-1,FALSE))</f>
        <v>0.38560411300000003</v>
      </c>
      <c r="AM15">
        <f ca="1">IF(AND($B$185=1,LEN($AM$209) * LEN($AM$210)&gt;0),($AM$209/$AM$210)*100,HLOOKUP(INDIRECT(ADDRESS(2,COLUMN())),OFFSET($BN$2,0,0,ROW()-1,60),ROW()-1,FALSE))</f>
        <v>0.451467269</v>
      </c>
      <c r="AN15">
        <f ca="1">IF(AND($B$185=1,LEN($AN$209) * LEN($AN$210)&gt;0),($AN$209/$AN$210)*100,HLOOKUP(INDIRECT(ADDRESS(2,COLUMN())),OFFSET($BN$2,0,0,ROW()-1,60),ROW()-1,FALSE))</f>
        <v>0.28037383199999999</v>
      </c>
      <c r="AO15">
        <f ca="1">IF(AND($B$185=1,LEN($AO$209) * LEN($AO$210)&gt;0),($AO$209/$AO$210)*100,HLOOKUP(INDIRECT(ADDRESS(2,COLUMN())),OFFSET($BN$2,0,0,ROW()-1,60),ROW()-1,FALSE))</f>
        <v>0.193236715</v>
      </c>
      <c r="AP15">
        <f ca="1">IF(AND($B$185=1,LEN($AP$209) * LEN($AP$210)&gt;0),($AP$209/$AP$210)*100,HLOOKUP(INDIRECT(ADDRESS(2,COLUMN())),OFFSET($BN$2,0,0,ROW()-1,60),ROW()-1,FALSE))</f>
        <v>0.18399264000000001</v>
      </c>
      <c r="AQ15">
        <f ca="1">IF(AND($B$185=1,LEN($AQ$209) * LEN($AQ$210)&gt;0),($AQ$209/$AQ$210)*100,HLOOKUP(INDIRECT(ADDRESS(2,COLUMN())),OFFSET($BN$2,0,0,ROW()-1,60),ROW()-1,FALSE))</f>
        <v>0.28275212100000002</v>
      </c>
      <c r="AR15">
        <f ca="1">IF(AND($B$185=1,LEN($AR$209) * LEN($AR$210)&gt;0),($AR$209/$AR$210)*100,HLOOKUP(INDIRECT(ADDRESS(2,COLUMN())),OFFSET($BN$2,0,0,ROW()-1,60),ROW()-1,FALSE))</f>
        <v>0.37313432800000002</v>
      </c>
      <c r="AS15">
        <f ca="1">IF(AND($B$185=1,LEN($AS$209) * LEN($AS$210)&gt;0),($AS$209/$AS$210)*100,HLOOKUP(INDIRECT(ADDRESS(2,COLUMN())),OFFSET($BN$2,0,0,ROW()-1,60),ROW()-1,FALSE))</f>
        <v>0.297619048</v>
      </c>
      <c r="AT15">
        <f ca="1">IF(AND($B$185=1,LEN($AT$209) * LEN($AT$210)&gt;0),($AT$209/$AT$210)*100,HLOOKUP(INDIRECT(ADDRESS(2,COLUMN())),OFFSET($BN$2,0,0,ROW()-1,60),ROW()-1,FALSE))</f>
        <v>0.27985074599999998</v>
      </c>
      <c r="AU15">
        <f ca="1">IF(AND($B$185=1,LEN($AU$209) * LEN($AU$210)&gt;0),($AU$209/$AU$210)*100,HLOOKUP(INDIRECT(ADDRESS(2,COLUMN())),OFFSET($BN$2,0,0,ROW()-1,60),ROW()-1,FALSE))</f>
        <v>0.302419355</v>
      </c>
      <c r="AV15">
        <f ca="1">IF(AND($B$185=1,LEN($AV$209) * LEN($AV$210)&gt;0),($AV$209/$AV$210)*100,HLOOKUP(INDIRECT(ADDRESS(2,COLUMN())),OFFSET($BN$2,0,0,ROW()-1,60),ROW()-1,FALSE))</f>
        <v>0.194552529</v>
      </c>
      <c r="AW15">
        <f ca="1">IF(AND($B$185=1,LEN($AW$209) * LEN($AW$210)&gt;0),($AW$209/$AW$210)*100,HLOOKUP(INDIRECT(ADDRESS(2,COLUMN())),OFFSET($BN$2,0,0,ROW()-1,60),ROW()-1,FALSE))</f>
        <v>0.20040080199999999</v>
      </c>
      <c r="AX15">
        <f ca="1">IF(AND($B$185=1,LEN($AX$209) * LEN($AX$210)&gt;0),($AX$209/$AX$210)*100,HLOOKUP(INDIRECT(ADDRESS(2,COLUMN())),OFFSET($BN$2,0,0,ROW()-1,60),ROW()-1,FALSE))</f>
        <v>0.28957528999999999</v>
      </c>
      <c r="AY15">
        <f ca="1">IF(AND($B$185=1,LEN($AY$209) * LEN($AY$210)&gt;0),($AY$209/$AY$210)*100,HLOOKUP(INDIRECT(ADDRESS(2,COLUMN())),OFFSET($BN$2,0,0,ROW()-1,60),ROW()-1,FALSE))</f>
        <v>0.28929604599999997</v>
      </c>
      <c r="AZ15">
        <f ca="1">IF(AND($B$185=1,LEN($AZ$209) * LEN($AZ$210)&gt;0),($AZ$209/$AZ$210)*100,HLOOKUP(INDIRECT(ADDRESS(2,COLUMN())),OFFSET($BN$2,0,0,ROW()-1,60),ROW()-1,FALSE))</f>
        <v>0.59405940599999996</v>
      </c>
      <c r="BA15">
        <f ca="1">IF(AND($B$185=1,LEN($BA$209) * LEN($BA$210)&gt;0),($BA$209/$BA$210)*100,HLOOKUP(INDIRECT(ADDRESS(2,COLUMN())),OFFSET($BN$2,0,0,ROW()-1,60),ROW()-1,FALSE))</f>
        <v>0.69444444400000005</v>
      </c>
      <c r="BB15">
        <f ca="1">IF(AND($B$185=1,LEN($BB$209) * LEN($BB$210)&gt;0),($BB$209/$BB$210)*100,HLOOKUP(INDIRECT(ADDRESS(2,COLUMN())),OFFSET($BN$2,0,0,ROW()-1,60),ROW()-1,FALSE))</f>
        <v>1.057692308</v>
      </c>
      <c r="BC15">
        <f ca="1">IF(AND($B$185=1,LEN($BC$209) * LEN($BC$210)&gt;0),($BC$209/$BC$210)*100,HLOOKUP(INDIRECT(ADDRESS(2,COLUMN())),OFFSET($BN$2,0,0,ROW()-1,60),ROW()-1,FALSE))</f>
        <v>1.0091743120000001</v>
      </c>
      <c r="BD15">
        <f ca="1">IF(AND($B$185=1,LEN($BD$209) * LEN($BD$210)&gt;0),($BD$209/$BD$210)*100,HLOOKUP(INDIRECT(ADDRESS(2,COLUMN())),OFFSET($BN$2,0,0,ROW()-1,60),ROW()-1,FALSE))</f>
        <v>0.90452261300000003</v>
      </c>
      <c r="BE15">
        <f ca="1">IF(AND($B$185=1,LEN($BE$209) * LEN($BE$210)&gt;0),($BE$209/$BE$210)*100,HLOOKUP(INDIRECT(ADDRESS(2,COLUMN())),OFFSET($BN$2,0,0,ROW()-1,60),ROW()-1,FALSE))</f>
        <v>0.90452261300000003</v>
      </c>
      <c r="BF15" t="str">
        <f ca="1">IF(AND($B$185=1,LEN($BF$209) * LEN($BF$210)&gt;0),($BF$209/$BF$210)*100,HLOOKUP(INDIRECT(ADDRESS(2,COLUMN())),OFFSET($BN$2,0,0,ROW()-1,60),ROW()-1,FALSE))</f>
        <v/>
      </c>
      <c r="BG15" t="str">
        <f ca="1">IF(AND($B$185=1,LEN($BG$209) * LEN($BG$210)&gt;0),($BG$209/$BG$210)*100,HLOOKUP(INDIRECT(ADDRESS(2,COLUMN())),OFFSET($BN$2,0,0,ROW()-1,60),ROW()-1,FALSE))</f>
        <v/>
      </c>
      <c r="BH15" t="str">
        <f ca="1">IF(AND($B$185=1,LEN($BH$209) * LEN($BH$210)&gt;0),($BH$209/$BH$210)*100,HLOOKUP(INDIRECT(ADDRESS(2,COLUMN())),OFFSET($BN$2,0,0,ROW()-1,60),ROW()-1,FALSE))</f>
        <v/>
      </c>
      <c r="BI15" t="str">
        <f ca="1">IF(AND($B$185=1,LEN($BI$209) * LEN($BI$210)&gt;0),($BI$209/$BI$210)*100,HLOOKUP(INDIRECT(ADDRESS(2,COLUMN())),OFFSET($BN$2,0,0,ROW()-1,60),ROW()-1,FALSE))</f>
        <v/>
      </c>
      <c r="BJ15" t="str">
        <f ca="1">IF(AND($B$185=1,LEN($BJ$209) * LEN($BJ$210)&gt;0),($BJ$209/$BJ$210)*100,HLOOKUP(INDIRECT(ADDRESS(2,COLUMN())),OFFSET($BN$2,0,0,ROW()-1,60),ROW()-1,FALSE))</f>
        <v/>
      </c>
      <c r="BK15" t="str">
        <f ca="1">IF(AND($B$185=1,LEN($BK$209) * LEN($BK$210)&gt;0),($BK$209/$BK$210)*100,HLOOKUP(INDIRECT(ADDRESS(2,COLUMN())),OFFSET($BN$2,0,0,ROW()-1,60),ROW()-1,FALSE))</f>
        <v/>
      </c>
      <c r="BL15" t="str">
        <f ca="1">IF(AND($B$185=1,LEN($BL$209) * LEN($BL$210)&gt;0),($BL$209/$BL$210)*100,HLOOKUP(INDIRECT(ADDRESS(2,COLUMN())),OFFSET($BN$2,0,0,ROW()-1,60),ROW()-1,FALSE))</f>
        <v/>
      </c>
      <c r="BM15" t="str">
        <f ca="1">IF(AND($B$185=1,LEN($BM$209) * LEN($BM$210)&gt;0),($BM$209/$BM$210)*100,HLOOKUP(INDIRECT(ADDRESS(2,COLUMN())),OFFSET($BN$2,0,0,ROW()-1,60),ROW()-1,FALSE))</f>
        <v/>
      </c>
      <c r="BN15">
        <f>1.871345029</f>
        <v>1.871345029</v>
      </c>
      <c r="BO15">
        <f>1.756954612</f>
        <v>1.7569546119999999</v>
      </c>
      <c r="BP15">
        <f>1.05680317</f>
        <v>1.05680317</v>
      </c>
      <c r="BQ15">
        <f>0.919842313</f>
        <v>0.91984231299999997</v>
      </c>
      <c r="BR15">
        <f>0.718484651</f>
        <v>0.71848465100000003</v>
      </c>
      <c r="BS15">
        <f>0.962772786</f>
        <v>0.96277278600000005</v>
      </c>
      <c r="BT15">
        <f>0.882167612</f>
        <v>0.88216761200000005</v>
      </c>
      <c r="BU15">
        <f>0.64440539</f>
        <v>0.64440538999999997</v>
      </c>
      <c r="BV15">
        <f>0.475938657</f>
        <v>0.47593865699999999</v>
      </c>
      <c r="BW15">
        <f>0.745077169</f>
        <v>0.74507716899999998</v>
      </c>
      <c r="BX15">
        <f>0.784313726</f>
        <v>0.78431372600000004</v>
      </c>
      <c r="BY15">
        <f>1.24260355</f>
        <v>1.2426035499999999</v>
      </c>
      <c r="BZ15">
        <f>1.287332647</f>
        <v>1.2873326469999999</v>
      </c>
      <c r="CA15">
        <f>1.820187534</f>
        <v>1.820187534</v>
      </c>
      <c r="CB15">
        <f>1.471420487</f>
        <v>1.4714204870000001</v>
      </c>
      <c r="CC15">
        <f>2.696500287</f>
        <v>2.6965002870000001</v>
      </c>
      <c r="CD15">
        <f>2.340772999</f>
        <v>2.3407729989999999</v>
      </c>
      <c r="CE15">
        <f>3.033908388</f>
        <v>3.033908388</v>
      </c>
      <c r="CF15">
        <f>3.625730994</f>
        <v>3.625730994</v>
      </c>
      <c r="CG15">
        <f>1.371742112</f>
        <v>1.371742112</v>
      </c>
      <c r="CH15">
        <f>1.288343558</f>
        <v>1.288343558</v>
      </c>
      <c r="CI15">
        <f>0.986436498</f>
        <v>0.98643649799999999</v>
      </c>
      <c r="CJ15">
        <f>0.935745477</f>
        <v>0.93574547699999999</v>
      </c>
      <c r="CK15">
        <f>0.528750826</f>
        <v>0.52875082600000001</v>
      </c>
      <c r="CL15" t="str">
        <f>""</f>
        <v/>
      </c>
      <c r="CM15">
        <f>0.564263323</f>
        <v>0.56426332300000004</v>
      </c>
      <c r="CN15">
        <f>0.427089689</f>
        <v>0.42708968899999999</v>
      </c>
      <c r="CO15">
        <f>0.453074434</f>
        <v>0.45307443400000003</v>
      </c>
      <c r="CP15">
        <f>0.4391468</f>
        <v>0.4391468</v>
      </c>
      <c r="CQ15">
        <f>0.454545455</f>
        <v>0.45454545499999999</v>
      </c>
      <c r="CR15">
        <f>0.36900369</f>
        <v>0.36900369</v>
      </c>
      <c r="CS15">
        <f>0.401337793</f>
        <v>0.401337793</v>
      </c>
      <c r="CT15">
        <f>0.385604113</f>
        <v>0.38560411300000003</v>
      </c>
      <c r="CU15">
        <f>0.451467269</f>
        <v>0.451467269</v>
      </c>
      <c r="CV15">
        <f>0.280373832</f>
        <v>0.28037383199999999</v>
      </c>
      <c r="CW15">
        <f>0.193236715</f>
        <v>0.193236715</v>
      </c>
      <c r="CX15">
        <f>0.18399264</f>
        <v>0.18399264000000001</v>
      </c>
      <c r="CY15">
        <f>0.282752121</f>
        <v>0.28275212100000002</v>
      </c>
      <c r="CZ15">
        <f>0.373134328</f>
        <v>0.37313432800000002</v>
      </c>
      <c r="DA15">
        <f>0.297619048</f>
        <v>0.297619048</v>
      </c>
      <c r="DB15">
        <f>0.279850746</f>
        <v>0.27985074599999998</v>
      </c>
      <c r="DC15">
        <f>0.302419355</f>
        <v>0.302419355</v>
      </c>
      <c r="DD15">
        <f>0.194552529</f>
        <v>0.194552529</v>
      </c>
      <c r="DE15">
        <f>0.200400802</f>
        <v>0.20040080199999999</v>
      </c>
      <c r="DF15">
        <f>0.28957529</f>
        <v>0.28957528999999999</v>
      </c>
      <c r="DG15">
        <f>0.289296046</f>
        <v>0.28929604599999997</v>
      </c>
      <c r="DH15">
        <f>0.594059406</f>
        <v>0.59405940599999996</v>
      </c>
      <c r="DI15">
        <f>0.694444444</f>
        <v>0.69444444400000005</v>
      </c>
      <c r="DJ15">
        <f>1.057692308</f>
        <v>1.057692308</v>
      </c>
      <c r="DK15">
        <f>1.009174312</f>
        <v>1.0091743120000001</v>
      </c>
      <c r="DL15">
        <f>0.904522613</f>
        <v>0.90452261300000003</v>
      </c>
      <c r="DM15">
        <f>0.904522613</f>
        <v>0.90452261300000003</v>
      </c>
      <c r="DN15" t="str">
        <f>""</f>
        <v/>
      </c>
      <c r="DO15" t="str">
        <f>""</f>
        <v/>
      </c>
      <c r="DP15" t="str">
        <f>""</f>
        <v/>
      </c>
      <c r="DQ15" t="str">
        <f>""</f>
        <v/>
      </c>
      <c r="DR15" t="str">
        <f>""</f>
        <v/>
      </c>
      <c r="DS15" t="str">
        <f>""</f>
        <v/>
      </c>
      <c r="DT15" t="str">
        <f>""</f>
        <v/>
      </c>
      <c r="DU15" t="str">
        <f>""</f>
        <v/>
      </c>
    </row>
    <row r="16" spans="1:125">
      <c r="A16" t="str">
        <f>"    M&amp;T Bank Corp"</f>
        <v xml:space="preserve">    M&amp;T Bank Corp</v>
      </c>
      <c r="B16" t="str">
        <f>"MTB US Equity"</f>
        <v>MTB US Equity</v>
      </c>
      <c r="E16" t="str">
        <f t="shared" si="0"/>
        <v>Expression</v>
      </c>
      <c r="F16" t="e">
        <f ca="1">IF(AND($B$185=1,LEN($F$211) * LEN($F$212)&gt;0),($F$211/$F$212)*100,HLOOKUP(INDIRECT(ADDRESS(2,COLUMN())),OFFSET($BN$2,0,0,ROW()-1,60),ROW()-1,FALSE))</f>
        <v>#NAME?</v>
      </c>
      <c r="G16">
        <f ca="1">IF(AND($B$185=1,LEN($G$211) * LEN($G$212)&gt;0),($G$211/$G$212)*100,HLOOKUP(INDIRECT(ADDRESS(2,COLUMN())),OFFSET($BN$2,0,0,ROW()-1,60),ROW()-1,FALSE))</f>
        <v>4.6740994850000002</v>
      </c>
      <c r="H16">
        <f ca="1">IF(AND($B$185=1,LEN($H$211) * LEN($H$212)&gt;0),($H$211/$H$212)*100,HLOOKUP(INDIRECT(ADDRESS(2,COLUMN())),OFFSET($BN$2,0,0,ROW()-1,60),ROW()-1,FALSE))</f>
        <v>4.6046915730000002</v>
      </c>
      <c r="I16">
        <f ca="1">IF(AND($B$185=1,LEN($I$211) * LEN($I$212)&gt;0),($I$211/$I$212)*100,HLOOKUP(INDIRECT(ADDRESS(2,COLUMN())),OFFSET($BN$2,0,0,ROW()-1,60),ROW()-1,FALSE))</f>
        <v>4.601769912</v>
      </c>
      <c r="J16">
        <f ca="1">IF(AND($B$185=1,LEN($J$211) * LEN($J$212)&gt;0),($J$211/$J$212)*100,HLOOKUP(INDIRECT(ADDRESS(2,COLUMN())),OFFSET($BN$2,0,0,ROW()-1,60),ROW()-1,FALSE))</f>
        <v>4.8695652169999999</v>
      </c>
      <c r="K16">
        <f ca="1">IF(AND($B$185=1,LEN($K$211) * LEN($K$212)&gt;0),($K$211/$K$212)*100,HLOOKUP(INDIRECT(ADDRESS(2,COLUMN())),OFFSET($BN$2,0,0,ROW()-1,60),ROW()-1,FALSE))</f>
        <v>4.4744919530000002</v>
      </c>
      <c r="L16">
        <f ca="1">IF(AND($B$185=1,LEN($L$211) * LEN($L$212)&gt;0),($L$211/$L$212)*100,HLOOKUP(INDIRECT(ADDRESS(2,COLUMN())),OFFSET($BN$2,0,0,ROW()-1,60),ROW()-1,FALSE))</f>
        <v>4.1160511849999999</v>
      </c>
      <c r="M16">
        <f ca="1">IF(AND($B$185=1,LEN($M$211) * LEN($M$212)&gt;0),($M$211/$M$212)*100,HLOOKUP(INDIRECT(ADDRESS(2,COLUMN())),OFFSET($BN$2,0,0,ROW()-1,60),ROW()-1,FALSE))</f>
        <v>3.5330966159999999</v>
      </c>
      <c r="N16">
        <f ca="1">IF(AND($B$185=1,LEN($N$211) * LEN($N$212)&gt;0),($N$211/$N$212)*100,HLOOKUP(INDIRECT(ADDRESS(2,COLUMN())),OFFSET($BN$2,0,0,ROW()-1,60),ROW()-1,FALSE))</f>
        <v>3.2492583439999998</v>
      </c>
      <c r="O16">
        <f ca="1">IF(AND($B$185=1,LEN($O$211) * LEN($O$212)&gt;0),($O$211/$O$212)*100,HLOOKUP(INDIRECT(ADDRESS(2,COLUMN())),OFFSET($BN$2,0,0,ROW()-1,60),ROW()-1,FALSE))</f>
        <v>3.7042604730000002</v>
      </c>
      <c r="P16">
        <f ca="1">IF(AND($B$185=1,LEN($P$211) * LEN($P$212)&gt;0),($P$211/$P$212)*100,HLOOKUP(INDIRECT(ADDRESS(2,COLUMN())),OFFSET($BN$2,0,0,ROW()-1,60),ROW()-1,FALSE))</f>
        <v>4.1822316429999997</v>
      </c>
      <c r="Q16">
        <f ca="1">IF(AND($B$185=1,LEN($Q$211) * LEN($Q$212)&gt;0),($Q$211/$Q$212)*100,HLOOKUP(INDIRECT(ADDRESS(2,COLUMN())),OFFSET($BN$2,0,0,ROW()-1,60),ROW()-1,FALSE))</f>
        <v>7.5531759559999996</v>
      </c>
      <c r="R16">
        <f ca="1">IF(AND($B$185=1,LEN($R$211) * LEN($R$212)&gt;0),($R$211/$R$212)*100,HLOOKUP(INDIRECT(ADDRESS(2,COLUMN())),OFFSET($BN$2,0,0,ROW()-1,60),ROW()-1,FALSE))</f>
        <v>9.2081616999999998</v>
      </c>
      <c r="S16">
        <f ca="1">IF(AND($B$185=1,LEN($S$211) * LEN($S$212)&gt;0),($S$211/$S$212)*100,HLOOKUP(INDIRECT(ADDRESS(2,COLUMN())),OFFSET($BN$2,0,0,ROW()-1,60),ROW()-1,FALSE))</f>
        <v>10.413791939999999</v>
      </c>
      <c r="T16">
        <f ca="1">IF(AND($B$185=1,LEN($T$211) * LEN($T$212)&gt;0),($T$211/$T$212)*100,HLOOKUP(INDIRECT(ADDRESS(2,COLUMN())),OFFSET($BN$2,0,0,ROW()-1,60),ROW()-1,FALSE))</f>
        <v>9.1562824309999993</v>
      </c>
      <c r="U16">
        <f ca="1">IF(AND($B$185=1,LEN($U$211) * LEN($U$212)&gt;0),($U$211/$U$212)*100,HLOOKUP(INDIRECT(ADDRESS(2,COLUMN())),OFFSET($BN$2,0,0,ROW()-1,60),ROW()-1,FALSE))</f>
        <v>9.3311804429999992</v>
      </c>
      <c r="V16">
        <f ca="1">IF(AND($B$185=1,LEN($V$211) * LEN($V$212)&gt;0),($V$211/$V$212)*100,HLOOKUP(INDIRECT(ADDRESS(2,COLUMN())),OFFSET($BN$2,0,0,ROW()-1,60),ROW()-1,FALSE))</f>
        <v>9.1164079890000007</v>
      </c>
      <c r="W16">
        <f ca="1">IF(AND($B$185=1,LEN($W$211) * LEN($W$212)&gt;0),($W$211/$W$212)*100,HLOOKUP(INDIRECT(ADDRESS(2,COLUMN())),OFFSET($BN$2,0,0,ROW()-1,60),ROW()-1,FALSE))</f>
        <v>10.4715179</v>
      </c>
      <c r="X16">
        <f ca="1">IF(AND($B$185=1,LEN($X$211) * LEN($X$212)&gt;0),($X$211/$X$212)*100,HLOOKUP(INDIRECT(ADDRESS(2,COLUMN())),OFFSET($BN$2,0,0,ROW()-1,60),ROW()-1,FALSE))</f>
        <v>10.040362500000001</v>
      </c>
      <c r="Y16">
        <f ca="1">IF(AND($B$185=1,LEN($Y$211) * LEN($Y$212)&gt;0),($Y$211/$Y$212)*100,HLOOKUP(INDIRECT(ADDRESS(2,COLUMN())),OFFSET($BN$2,0,0,ROW()-1,60),ROW()-1,FALSE))</f>
        <v>8.4923630550000002</v>
      </c>
      <c r="Z16">
        <f ca="1">IF(AND($B$185=1,LEN($Z$211) * LEN($Z$212)&gt;0),($Z$211/$Z$212)*100,HLOOKUP(INDIRECT(ADDRESS(2,COLUMN())),OFFSET($BN$2,0,0,ROW()-1,60),ROW()-1,FALSE))</f>
        <v>7.7218174319999999</v>
      </c>
      <c r="AA16">
        <f ca="1">IF(AND($B$185=1,LEN($AA$211) * LEN($AA$212)&gt;0),($AA$211/$AA$212)*100,HLOOKUP(INDIRECT(ADDRESS(2,COLUMN())),OFFSET($BN$2,0,0,ROW()-1,60),ROW()-1,FALSE))</f>
        <v>8.7954501250000003</v>
      </c>
      <c r="AB16">
        <f ca="1">IF(AND($B$185=1,LEN($AB$211) * LEN($AB$212)&gt;0),($AB$211/$AB$212)*100,HLOOKUP(INDIRECT(ADDRESS(2,COLUMN())),OFFSET($BN$2,0,0,ROW()-1,60),ROW()-1,FALSE))</f>
        <v>6.907998064</v>
      </c>
      <c r="AC16">
        <f ca="1">IF(AND($B$185=1,LEN($AC$211) * LEN($AC$212)&gt;0),($AC$211/$AC$212)*100,HLOOKUP(INDIRECT(ADDRESS(2,COLUMN())),OFFSET($BN$2,0,0,ROW()-1,60),ROW()-1,FALSE))</f>
        <v>6.1458256090000001</v>
      </c>
      <c r="AD16">
        <f ca="1">IF(AND($B$185=1,LEN($AD$211) * LEN($AD$212)&gt;0),($AD$211/$AD$212)*100,HLOOKUP(INDIRECT(ADDRESS(2,COLUMN())),OFFSET($BN$2,0,0,ROW()-1,60),ROW()-1,FALSE))</f>
        <v>5.9906232709999996</v>
      </c>
      <c r="AE16">
        <f ca="1">IF(AND($B$185=1,LEN($AE$211) * LEN($AE$212)&gt;0),($AE$211/$AE$212)*100,HLOOKUP(INDIRECT(ADDRESS(2,COLUMN())),OFFSET($BN$2,0,0,ROW()-1,60),ROW()-1,FALSE))</f>
        <v>5.9400725110000003</v>
      </c>
      <c r="AF16">
        <f ca="1">IF(AND($B$185=1,LEN($AF$211) * LEN($AF$212)&gt;0),($AF$211/$AF$212)*100,HLOOKUP(INDIRECT(ADDRESS(2,COLUMN())),OFFSET($BN$2,0,0,ROW()-1,60),ROW()-1,FALSE))</f>
        <v>6.308753029</v>
      </c>
      <c r="AG16">
        <f ca="1">IF(AND($B$185=1,LEN($AG$211) * LEN($AG$212)&gt;0),($AG$211/$AG$212)*100,HLOOKUP(INDIRECT(ADDRESS(2,COLUMN())),OFFSET($BN$2,0,0,ROW()-1,60),ROW()-1,FALSE))</f>
        <v>6.0873803259999999</v>
      </c>
      <c r="AH16">
        <f ca="1">IF(AND($B$185=1,LEN($AH$211) * LEN($AH$212)&gt;0),($AH$211/$AH$212)*100,HLOOKUP(INDIRECT(ADDRESS(2,COLUMN())),OFFSET($BN$2,0,0,ROW()-1,60),ROW()-1,FALSE))</f>
        <v>6.6118036169999996</v>
      </c>
      <c r="AI16">
        <f ca="1">IF(AND($B$185=1,LEN($AI$211) * LEN($AI$212)&gt;0),($AI$211/$AI$212)*100,HLOOKUP(INDIRECT(ADDRESS(2,COLUMN())),OFFSET($BN$2,0,0,ROW()-1,60),ROW()-1,FALSE))</f>
        <v>6.8289938389999998</v>
      </c>
      <c r="AJ16">
        <f ca="1">IF(AND($B$185=1,LEN($AJ$211) * LEN($AJ$212)&gt;0),($AJ$211/$AJ$212)*100,HLOOKUP(INDIRECT(ADDRESS(2,COLUMN())),OFFSET($BN$2,0,0,ROW()-1,60),ROW()-1,FALSE))</f>
        <v>6.1588287770000001</v>
      </c>
      <c r="AK16">
        <f ca="1">IF(AND($B$185=1,LEN($AK$211) * LEN($AK$212)&gt;0),($AK$211/$AK$212)*100,HLOOKUP(INDIRECT(ADDRESS(2,COLUMN())),OFFSET($BN$2,0,0,ROW()-1,60),ROW()-1,FALSE))</f>
        <v>6.2222973250000004</v>
      </c>
      <c r="AL16">
        <f ca="1">IF(AND($B$185=1,LEN($AL$211) * LEN($AL$212)&gt;0),($AL$211/$AL$212)*100,HLOOKUP(INDIRECT(ADDRESS(2,COLUMN())),OFFSET($BN$2,0,0,ROW()-1,60),ROW()-1,FALSE))</f>
        <v>7.3443416939999997</v>
      </c>
      <c r="AM16">
        <f ca="1">IF(AND($B$185=1,LEN($AM$211) * LEN($AM$212)&gt;0),($AM$211/$AM$212)*100,HLOOKUP(INDIRECT(ADDRESS(2,COLUMN())),OFFSET($BN$2,0,0,ROW()-1,60),ROW()-1,FALSE))</f>
        <v>7.6867280630000003</v>
      </c>
      <c r="AN16">
        <f ca="1">IF(AND($B$185=1,LEN($AN$211) * LEN($AN$212)&gt;0),($AN$211/$AN$212)*100,HLOOKUP(INDIRECT(ADDRESS(2,COLUMN())),OFFSET($BN$2,0,0,ROW()-1,60),ROW()-1,FALSE))</f>
        <v>6.8123496179999998</v>
      </c>
      <c r="AO16">
        <f ca="1">IF(AND($B$185=1,LEN($AO$211) * LEN($AO$212)&gt;0),($AO$211/$AO$212)*100,HLOOKUP(INDIRECT(ADDRESS(2,COLUMN())),OFFSET($BN$2,0,0,ROW()-1,60),ROW()-1,FALSE))</f>
        <v>6.3472186879999999</v>
      </c>
      <c r="AP16">
        <f ca="1">IF(AND($B$185=1,LEN($AP$211) * LEN($AP$212)&gt;0),($AP$211/$AP$212)*100,HLOOKUP(INDIRECT(ADDRESS(2,COLUMN())),OFFSET($BN$2,0,0,ROW()-1,60),ROW()-1,FALSE))</f>
        <v>6.9712672250000001</v>
      </c>
      <c r="AQ16">
        <f ca="1">IF(AND($B$185=1,LEN($AQ$211) * LEN($AQ$212)&gt;0),($AQ$211/$AQ$212)*100,HLOOKUP(INDIRECT(ADDRESS(2,COLUMN())),OFFSET($BN$2,0,0,ROW()-1,60),ROW()-1,FALSE))</f>
        <v>7.4201386989999998</v>
      </c>
      <c r="AR16">
        <f ca="1">IF(AND($B$185=1,LEN($AR$211) * LEN($AR$212)&gt;0),($AR$211/$AR$212)*100,HLOOKUP(INDIRECT(ADDRESS(2,COLUMN())),OFFSET($BN$2,0,0,ROW()-1,60),ROW()-1,FALSE))</f>
        <v>8.6939427449999993</v>
      </c>
      <c r="AS16">
        <f ca="1">IF(AND($B$185=1,LEN($AS$211) * LEN($AS$212)&gt;0),($AS$211/$AS$212)*100,HLOOKUP(INDIRECT(ADDRESS(2,COLUMN())),OFFSET($BN$2,0,0,ROW()-1,60),ROW()-1,FALSE))</f>
        <v>9.2382098050000003</v>
      </c>
      <c r="AT16">
        <f ca="1">IF(AND($B$185=1,LEN($AT$211) * LEN($AT$212)&gt;0),($AT$211/$AT$212)*100,HLOOKUP(INDIRECT(ADDRESS(2,COLUMN())),OFFSET($BN$2,0,0,ROW()-1,60),ROW()-1,FALSE))</f>
        <v>8.2643497959999994</v>
      </c>
      <c r="AU16">
        <f ca="1">IF(AND($B$185=1,LEN($AU$211) * LEN($AU$212)&gt;0),($AU$211/$AU$212)*100,HLOOKUP(INDIRECT(ADDRESS(2,COLUMN())),OFFSET($BN$2,0,0,ROW()-1,60),ROW()-1,FALSE))</f>
        <v>8.3498040479999993</v>
      </c>
      <c r="AV16">
        <f ca="1">IF(AND($B$185=1,LEN($AV$211) * LEN($AV$212)&gt;0),($AV$211/$AV$212)*100,HLOOKUP(INDIRECT(ADDRESS(2,COLUMN())),OFFSET($BN$2,0,0,ROW()-1,60),ROW()-1,FALSE))</f>
        <v>8.4987819029999994</v>
      </c>
      <c r="AW16">
        <f ca="1">IF(AND($B$185=1,LEN($AW$211) * LEN($AW$212)&gt;0),($AW$211/$AW$212)*100,HLOOKUP(INDIRECT(ADDRESS(2,COLUMN())),OFFSET($BN$2,0,0,ROW()-1,60),ROW()-1,FALSE))</f>
        <v>7.4357664369999998</v>
      </c>
      <c r="AX16">
        <f ca="1">IF(AND($B$185=1,LEN($AX$211) * LEN($AX$212)&gt;0),($AX$211/$AX$212)*100,HLOOKUP(INDIRECT(ADDRESS(2,COLUMN())),OFFSET($BN$2,0,0,ROW()-1,60),ROW()-1,FALSE))</f>
        <v>7.3844508549999999</v>
      </c>
      <c r="AY16">
        <f ca="1">IF(AND($B$185=1,LEN($AY$211) * LEN($AY$212)&gt;0),($AY$211/$AY$212)*100,HLOOKUP(INDIRECT(ADDRESS(2,COLUMN())),OFFSET($BN$2,0,0,ROW()-1,60),ROW()-1,FALSE))</f>
        <v>5.6263559369999996</v>
      </c>
      <c r="AZ16">
        <f ca="1">IF(AND($B$185=1,LEN($AZ$211) * LEN($AZ$212)&gt;0),($AZ$211/$AZ$212)*100,HLOOKUP(INDIRECT(ADDRESS(2,COLUMN())),OFFSET($BN$2,0,0,ROW()-1,60),ROW()-1,FALSE))</f>
        <v>7.6931506660000002</v>
      </c>
      <c r="BA16">
        <f ca="1">IF(AND($B$185=1,LEN($BA$211) * LEN($BA$212)&gt;0),($BA$211/$BA$212)*100,HLOOKUP(INDIRECT(ADDRESS(2,COLUMN())),OFFSET($BN$2,0,0,ROW()-1,60),ROW()-1,FALSE))</f>
        <v>8.5499370020000001</v>
      </c>
      <c r="BB16">
        <f ca="1">IF(AND($B$185=1,LEN($BB$211) * LEN($BB$212)&gt;0),($BB$211/$BB$212)*100,HLOOKUP(INDIRECT(ADDRESS(2,COLUMN())),OFFSET($BN$2,0,0,ROW()-1,60),ROW()-1,FALSE))</f>
        <v>10.40045119</v>
      </c>
      <c r="BC16">
        <f ca="1">IF(AND($B$185=1,LEN($BC$211) * LEN($BC$212)&gt;0),($BC$211/$BC$212)*100,HLOOKUP(INDIRECT(ADDRESS(2,COLUMN())),OFFSET($BN$2,0,0,ROW()-1,60),ROW()-1,FALSE))</f>
        <v>9.6361151330000006</v>
      </c>
      <c r="BD16">
        <f ca="1">IF(AND($B$185=1,LEN($BD$211) * LEN($BD$212)&gt;0),($BD$211/$BD$212)*100,HLOOKUP(INDIRECT(ADDRESS(2,COLUMN())),OFFSET($BN$2,0,0,ROW()-1,60),ROW()-1,FALSE))</f>
        <v>6.6863979889999996</v>
      </c>
      <c r="BE16">
        <f ca="1">IF(AND($B$185=1,LEN($BE$211) * LEN($BE$212)&gt;0),($BE$211/$BE$212)*100,HLOOKUP(INDIRECT(ADDRESS(2,COLUMN())),OFFSET($BN$2,0,0,ROW()-1,60),ROW()-1,FALSE))</f>
        <v>5.6354752530000001</v>
      </c>
      <c r="BF16">
        <f ca="1">IF(AND($B$185=1,LEN($BF$211) * LEN($BF$212)&gt;0),($BF$211/$BF$212)*100,HLOOKUP(INDIRECT(ADDRESS(2,COLUMN())),OFFSET($BN$2,0,0,ROW()-1,60),ROW()-1,FALSE))</f>
        <v>3.9915001210000001</v>
      </c>
      <c r="BG16">
        <f ca="1">IF(AND($B$185=1,LEN($BG$211) * LEN($BG$212)&gt;0),($BG$211/$BG$212)*100,HLOOKUP(INDIRECT(ADDRESS(2,COLUMN())),OFFSET($BN$2,0,0,ROW()-1,60),ROW()-1,FALSE))</f>
        <v>3.8717857360000001</v>
      </c>
      <c r="BH16">
        <f ca="1">IF(AND($B$185=1,LEN($BH$211) * LEN($BH$212)&gt;0),($BH$211/$BH$212)*100,HLOOKUP(INDIRECT(ADDRESS(2,COLUMN())),OFFSET($BN$2,0,0,ROW()-1,60),ROW()-1,FALSE))</f>
        <v>3.8746784970000001</v>
      </c>
      <c r="BI16">
        <f ca="1">IF(AND($B$185=1,LEN($BI$211) * LEN($BI$212)&gt;0),($BI$211/$BI$212)*100,HLOOKUP(INDIRECT(ADDRESS(2,COLUMN())),OFFSET($BN$2,0,0,ROW()-1,60),ROW()-1,FALSE))</f>
        <v>5.1126328089999999</v>
      </c>
      <c r="BJ16">
        <f ca="1">IF(AND($B$185=1,LEN($BJ$211) * LEN($BJ$212)&gt;0),($BJ$211/$BJ$212)*100,HLOOKUP(INDIRECT(ADDRESS(2,COLUMN())),OFFSET($BN$2,0,0,ROW()-1,60),ROW()-1,FALSE))</f>
        <v>4.0663852220000001</v>
      </c>
      <c r="BK16">
        <f ca="1">IF(AND($B$185=1,LEN($BK$211) * LEN($BK$212)&gt;0),($BK$211/$BK$212)*100,HLOOKUP(INDIRECT(ADDRESS(2,COLUMN())),OFFSET($BN$2,0,0,ROW()-1,60),ROW()-1,FALSE))</f>
        <v>7.1009936409999996</v>
      </c>
      <c r="BL16">
        <f ca="1">IF(AND($B$185=1,LEN($BL$211) * LEN($BL$212)&gt;0),($BL$211/$BL$212)*100,HLOOKUP(INDIRECT(ADDRESS(2,COLUMN())),OFFSET($BN$2,0,0,ROW()-1,60),ROW()-1,FALSE))</f>
        <v>5.6000114180000002</v>
      </c>
      <c r="BM16" t="str">
        <f ca="1">IF(AND($B$185=1,LEN($BM$211) * LEN($BM$212)&gt;0),($BM$211/$BM$212)*100,HLOOKUP(INDIRECT(ADDRESS(2,COLUMN())),OFFSET($BN$2,0,0,ROW()-1,60),ROW()-1,FALSE))</f>
        <v/>
      </c>
      <c r="BN16">
        <f>4.905660377</f>
        <v>4.9056603770000002</v>
      </c>
      <c r="BO16">
        <f>4.674099485</f>
        <v>4.6740994850000002</v>
      </c>
      <c r="BP16">
        <f>4.604691573</f>
        <v>4.6046915730000002</v>
      </c>
      <c r="BQ16">
        <f>4.601769912</f>
        <v>4.601769912</v>
      </c>
      <c r="BR16">
        <f>4.869565217</f>
        <v>4.8695652169999999</v>
      </c>
      <c r="BS16">
        <f>4.474491953</f>
        <v>4.4744919530000002</v>
      </c>
      <c r="BT16">
        <f>4.116051185</f>
        <v>4.1160511849999999</v>
      </c>
      <c r="BU16">
        <f>3.533096616</f>
        <v>3.5330966159999999</v>
      </c>
      <c r="BV16">
        <f>3.249258344</f>
        <v>3.2492583439999998</v>
      </c>
      <c r="BW16">
        <f>3.704260473</f>
        <v>3.7042604730000002</v>
      </c>
      <c r="BX16">
        <f>4.182231643</f>
        <v>4.1822316429999997</v>
      </c>
      <c r="BY16">
        <f>7.553175956</f>
        <v>7.5531759559999996</v>
      </c>
      <c r="BZ16">
        <f>9.2081617</f>
        <v>9.2081616999999998</v>
      </c>
      <c r="CA16">
        <f>10.41379194</f>
        <v>10.413791939999999</v>
      </c>
      <c r="CB16">
        <f>9.156282431</f>
        <v>9.1562824309999993</v>
      </c>
      <c r="CC16">
        <f>9.331180443</f>
        <v>9.3311804429999992</v>
      </c>
      <c r="CD16">
        <f>9.116407989</f>
        <v>9.1164079890000007</v>
      </c>
      <c r="CE16">
        <f>10.4715179</f>
        <v>10.4715179</v>
      </c>
      <c r="CF16">
        <f>10.0403625</f>
        <v>10.040362500000001</v>
      </c>
      <c r="CG16">
        <f>8.492363055</f>
        <v>8.4923630550000002</v>
      </c>
      <c r="CH16">
        <f>7.721817432</f>
        <v>7.7218174319999999</v>
      </c>
      <c r="CI16">
        <f>8.795450125</f>
        <v>8.7954501250000003</v>
      </c>
      <c r="CJ16">
        <f>6.907998064</f>
        <v>6.907998064</v>
      </c>
      <c r="CK16">
        <f>6.145825609</f>
        <v>6.1458256090000001</v>
      </c>
      <c r="CL16">
        <f>5.990623271</f>
        <v>5.9906232709999996</v>
      </c>
      <c r="CM16">
        <f>5.940072511</f>
        <v>5.9400725110000003</v>
      </c>
      <c r="CN16">
        <f>6.308753029</f>
        <v>6.308753029</v>
      </c>
      <c r="CO16">
        <f>6.087380326</f>
        <v>6.0873803259999999</v>
      </c>
      <c r="CP16">
        <f>6.611803617</f>
        <v>6.6118036169999996</v>
      </c>
      <c r="CQ16">
        <f>6.828993839</f>
        <v>6.8289938389999998</v>
      </c>
      <c r="CR16">
        <f>6.158828777</f>
        <v>6.1588287770000001</v>
      </c>
      <c r="CS16">
        <f>6.222297325</f>
        <v>6.2222973250000004</v>
      </c>
      <c r="CT16">
        <f>7.344341694</f>
        <v>7.3443416939999997</v>
      </c>
      <c r="CU16">
        <f>7.686728063</f>
        <v>7.6867280630000003</v>
      </c>
      <c r="CV16">
        <f>6.812349618</f>
        <v>6.8123496179999998</v>
      </c>
      <c r="CW16">
        <f>6.347218688</f>
        <v>6.3472186879999999</v>
      </c>
      <c r="CX16">
        <f>6.971267225</f>
        <v>6.9712672250000001</v>
      </c>
      <c r="CY16">
        <f>7.420138699</f>
        <v>7.4201386989999998</v>
      </c>
      <c r="CZ16">
        <f>8.693942745</f>
        <v>8.6939427449999993</v>
      </c>
      <c r="DA16">
        <f>9.238209805</f>
        <v>9.2382098050000003</v>
      </c>
      <c r="DB16">
        <f>8.264349796</f>
        <v>8.2643497959999994</v>
      </c>
      <c r="DC16">
        <f>8.349804048</f>
        <v>8.3498040479999993</v>
      </c>
      <c r="DD16">
        <f>8.498781903</f>
        <v>8.4987819029999994</v>
      </c>
      <c r="DE16">
        <f>7.435766437</f>
        <v>7.4357664369999998</v>
      </c>
      <c r="DF16">
        <f>7.384450855</f>
        <v>7.3844508549999999</v>
      </c>
      <c r="DG16">
        <f>5.626355937</f>
        <v>5.6263559369999996</v>
      </c>
      <c r="DH16">
        <f>7.693150666</f>
        <v>7.6931506660000002</v>
      </c>
      <c r="DI16">
        <f>8.549937002</f>
        <v>8.5499370020000001</v>
      </c>
      <c r="DJ16">
        <f>10.40045119</f>
        <v>10.40045119</v>
      </c>
      <c r="DK16">
        <f>9.636115133</f>
        <v>9.6361151330000006</v>
      </c>
      <c r="DL16">
        <f>6.686397989</f>
        <v>6.6863979889999996</v>
      </c>
      <c r="DM16">
        <f>5.635475253</f>
        <v>5.6354752530000001</v>
      </c>
      <c r="DN16">
        <f>3.991500121</f>
        <v>3.9915001210000001</v>
      </c>
      <c r="DO16">
        <f>3.871785736</f>
        <v>3.8717857360000001</v>
      </c>
      <c r="DP16">
        <f>3.874678497</f>
        <v>3.8746784970000001</v>
      </c>
      <c r="DQ16">
        <f>5.112632809</f>
        <v>5.1126328089999999</v>
      </c>
      <c r="DR16">
        <f>4.066385222</f>
        <v>4.0663852220000001</v>
      </c>
      <c r="DS16">
        <f>7.100993641</f>
        <v>7.1009936409999996</v>
      </c>
      <c r="DT16">
        <f>5.600011418</f>
        <v>5.6000114180000002</v>
      </c>
      <c r="DU16" t="str">
        <f>""</f>
        <v/>
      </c>
    </row>
    <row r="17" spans="1:125">
      <c r="A17" t="str">
        <f>"    PNC Financial Services Group I"</f>
        <v xml:space="preserve">    PNC Financial Services Group I</v>
      </c>
      <c r="B17" t="str">
        <f>"PNC US Equity"</f>
        <v>PNC US Equity</v>
      </c>
      <c r="E17" t="str">
        <f t="shared" si="0"/>
        <v>Expression</v>
      </c>
      <c r="F17" t="e">
        <f ca="1">IF(AND($B$185=1,LEN($F$213) * LEN($F$214)&gt;0),($F$213/$F$214)*100,HLOOKUP(INDIRECT(ADDRESS(2,COLUMN())),OFFSET($BN$2,0,0,ROW()-1,60),ROW()-1,FALSE))</f>
        <v>#NAME?</v>
      </c>
      <c r="G17">
        <f ca="1">IF(AND($B$185=1,LEN($G$213) * LEN($G$214)&gt;0),($G$213/$G$214)*100,HLOOKUP(INDIRECT(ADDRESS(2,COLUMN())),OFFSET($BN$2,0,0,ROW()-1,60),ROW()-1,FALSE))</f>
        <v>3.332106038</v>
      </c>
      <c r="H17">
        <f ca="1">IF(AND($B$185=1,LEN($H$213) * LEN($H$214)&gt;0),($H$213/$H$214)*100,HLOOKUP(INDIRECT(ADDRESS(2,COLUMN())),OFFSET($BN$2,0,0,ROW()-1,60),ROW()-1,FALSE))</f>
        <v>2.4209942710000001</v>
      </c>
      <c r="I17">
        <f ca="1">IF(AND($B$185=1,LEN($I$213) * LEN($I$214)&gt;0),($I$213/$I$214)*100,HLOOKUP(INDIRECT(ADDRESS(2,COLUMN())),OFFSET($BN$2,0,0,ROW()-1,60),ROW()-1,FALSE))</f>
        <v>2.8571428569999999</v>
      </c>
      <c r="J17">
        <f ca="1">IF(AND($B$185=1,LEN($J$213) * LEN($J$214)&gt;0),($J$213/$J$214)*100,HLOOKUP(INDIRECT(ADDRESS(2,COLUMN())),OFFSET($BN$2,0,0,ROW()-1,60),ROW()-1,FALSE))</f>
        <v>2.7793322140000001</v>
      </c>
      <c r="K17">
        <f ca="1">IF(AND($B$185=1,LEN($K$213) * LEN($K$214)&gt;0),($K$213/$K$214)*100,HLOOKUP(INDIRECT(ADDRESS(2,COLUMN())),OFFSET($BN$2,0,0,ROW()-1,60),ROW()-1,FALSE))</f>
        <v>3.8410089809999999</v>
      </c>
      <c r="L17">
        <f ca="1">IF(AND($B$185=1,LEN($L$213) * LEN($L$214)&gt;0),($L$213/$L$214)*100,HLOOKUP(INDIRECT(ADDRESS(2,COLUMN())),OFFSET($BN$2,0,0,ROW()-1,60),ROW()-1,FALSE))</f>
        <v>1.851501984</v>
      </c>
      <c r="M17">
        <f ca="1">IF(AND($B$185=1,LEN($M$213) * LEN($M$214)&gt;0),($M$213/$M$214)*100,HLOOKUP(INDIRECT(ADDRESS(2,COLUMN())),OFFSET($BN$2,0,0,ROW()-1,60),ROW()-1,FALSE))</f>
        <v>3.1590219529999999</v>
      </c>
      <c r="N17">
        <f ca="1">IF(AND($B$185=1,LEN($N$213) * LEN($N$214)&gt;0),($N$213/$N$214)*100,HLOOKUP(INDIRECT(ADDRESS(2,COLUMN())),OFFSET($BN$2,0,0,ROW()-1,60),ROW()-1,FALSE))</f>
        <v>3.1927815370000001</v>
      </c>
      <c r="O17">
        <f ca="1">IF(AND($B$185=1,LEN($O$213) * LEN($O$214)&gt;0),($O$213/$O$214)*100,HLOOKUP(INDIRECT(ADDRESS(2,COLUMN())),OFFSET($BN$2,0,0,ROW()-1,60),ROW()-1,FALSE))</f>
        <v>2.5770409079999999</v>
      </c>
      <c r="P17">
        <f ca="1">IF(AND($B$185=1,LEN($P$213) * LEN($P$214)&gt;0),($P$213/$P$214)*100,HLOOKUP(INDIRECT(ADDRESS(2,COLUMN())),OFFSET($BN$2,0,0,ROW()-1,60),ROW()-1,FALSE))</f>
        <v>3.1469898359999999</v>
      </c>
      <c r="Q17">
        <f ca="1">IF(AND($B$185=1,LEN($Q$213) * LEN($Q$214)&gt;0),($Q$213/$Q$214)*100,HLOOKUP(INDIRECT(ADDRESS(2,COLUMN())),OFFSET($BN$2,0,0,ROW()-1,60),ROW()-1,FALSE))</f>
        <v>3.3887468030000001</v>
      </c>
      <c r="R17">
        <f ca="1">IF(AND($B$185=1,LEN($R$213) * LEN($R$214)&gt;0),($R$213/$R$214)*100,HLOOKUP(INDIRECT(ADDRESS(2,COLUMN())),OFFSET($BN$2,0,0,ROW()-1,60),ROW()-1,FALSE))</f>
        <v>4.0764579679999997</v>
      </c>
      <c r="S17">
        <f ca="1">IF(AND($B$185=1,LEN($S$213) * LEN($S$214)&gt;0),($S$213/$S$214)*100,HLOOKUP(INDIRECT(ADDRESS(2,COLUMN())),OFFSET($BN$2,0,0,ROW()-1,60),ROW()-1,FALSE))</f>
        <v>4.7719838369999996</v>
      </c>
      <c r="T17">
        <f ca="1">IF(AND($B$185=1,LEN($T$213) * LEN($T$214)&gt;0),($T$213/$T$214)*100,HLOOKUP(INDIRECT(ADDRESS(2,COLUMN())),OFFSET($BN$2,0,0,ROW()-1,60),ROW()-1,FALSE))</f>
        <v>4.4139704310000001</v>
      </c>
      <c r="U17">
        <f ca="1">IF(AND($B$185=1,LEN($U$213) * LEN($U$214)&gt;0),($U$213/$U$214)*100,HLOOKUP(INDIRECT(ADDRESS(2,COLUMN())),OFFSET($BN$2,0,0,ROW()-1,60),ROW()-1,FALSE))</f>
        <v>4.4312796209999998</v>
      </c>
      <c r="V17">
        <f ca="1">IF(AND($B$185=1,LEN($V$213) * LEN($V$214)&gt;0),($V$213/$V$214)*100,HLOOKUP(INDIRECT(ADDRESS(2,COLUMN())),OFFSET($BN$2,0,0,ROW()-1,60),ROW()-1,FALSE))</f>
        <v>2.352661597</v>
      </c>
      <c r="W17">
        <f ca="1">IF(AND($B$185=1,LEN($W$213) * LEN($W$214)&gt;0),($W$213/$W$214)*100,HLOOKUP(INDIRECT(ADDRESS(2,COLUMN())),OFFSET($BN$2,0,0,ROW()-1,60),ROW()-1,FALSE))</f>
        <v>3.2001868720000002</v>
      </c>
      <c r="X17">
        <f ca="1">IF(AND($B$185=1,LEN($X$213) * LEN($X$214)&gt;0),($X$213/$X$214)*100,HLOOKUP(INDIRECT(ADDRESS(2,COLUMN())),OFFSET($BN$2,0,0,ROW()-1,60),ROW()-1,FALSE))</f>
        <v>3.876349362</v>
      </c>
      <c r="Y17">
        <f ca="1">IF(AND($B$185=1,LEN($Y$213) * LEN($Y$214)&gt;0),($Y$213/$Y$214)*100,HLOOKUP(INDIRECT(ADDRESS(2,COLUMN())),OFFSET($BN$2,0,0,ROW()-1,60),ROW()-1,FALSE))</f>
        <v>4.8431734320000004</v>
      </c>
      <c r="Z17">
        <f ca="1">IF(AND($B$185=1,LEN($Z$213) * LEN($Z$214)&gt;0),($Z$213/$Z$214)*100,HLOOKUP(INDIRECT(ADDRESS(2,COLUMN())),OFFSET($BN$2,0,0,ROW()-1,60),ROW()-1,FALSE))</f>
        <v>2.0134228190000001</v>
      </c>
      <c r="AA17">
        <f ca="1">IF(AND($B$185=1,LEN($AA$213) * LEN($AA$214)&gt;0),($AA$213/$AA$214)*100,HLOOKUP(INDIRECT(ADDRESS(2,COLUMN())),OFFSET($BN$2,0,0,ROW()-1,60),ROW()-1,FALSE))</f>
        <v>3.158887317</v>
      </c>
      <c r="AB17">
        <f ca="1">IF(AND($B$185=1,LEN($AB$213) * LEN($AB$214)&gt;0),($AB$213/$AB$214)*100,HLOOKUP(INDIRECT(ADDRESS(2,COLUMN())),OFFSET($BN$2,0,0,ROW()-1,60),ROW()-1,FALSE))</f>
        <v>1.847262897</v>
      </c>
      <c r="AC17">
        <f ca="1">IF(AND($B$185=1,LEN($AC$213) * LEN($AC$214)&gt;0),($AC$213/$AC$214)*100,HLOOKUP(INDIRECT(ADDRESS(2,COLUMN())),OFFSET($BN$2,0,0,ROW()-1,60),ROW()-1,FALSE))</f>
        <v>1.516565562</v>
      </c>
      <c r="AD17">
        <f ca="1">IF(AND($B$185=1,LEN($AD$213) * LEN($AD$214)&gt;0),($AD$213/$AD$214)*100,HLOOKUP(INDIRECT(ADDRESS(2,COLUMN())),OFFSET($BN$2,0,0,ROW()-1,60),ROW()-1,FALSE))</f>
        <v>1.359447005</v>
      </c>
      <c r="AE17">
        <f ca="1">IF(AND($B$185=1,LEN($AE$213) * LEN($AE$214)&gt;0),($AE$213/$AE$214)*100,HLOOKUP(INDIRECT(ADDRESS(2,COLUMN())),OFFSET($BN$2,0,0,ROW()-1,60),ROW()-1,FALSE))</f>
        <v>1.744319486</v>
      </c>
      <c r="AF17">
        <f ca="1">IF(AND($B$185=1,LEN($AF$213) * LEN($AF$214)&gt;0),($AF$213/$AF$214)*100,HLOOKUP(INDIRECT(ADDRESS(2,COLUMN())),OFFSET($BN$2,0,0,ROW()-1,60),ROW()-1,FALSE))</f>
        <v>1.942645698</v>
      </c>
      <c r="AG17">
        <f ca="1">IF(AND($B$185=1,LEN($AG$213) * LEN($AG$214)&gt;0),($AG$213/$AG$214)*100,HLOOKUP(INDIRECT(ADDRESS(2,COLUMN())),OFFSET($BN$2,0,0,ROW()-1,60),ROW()-1,FALSE))</f>
        <v>2.3595232300000002</v>
      </c>
      <c r="AH17">
        <f ca="1">IF(AND($B$185=1,LEN($AH$213) * LEN($AH$214)&gt;0),($AH$213/$AH$214)*100,HLOOKUP(INDIRECT(ADDRESS(2,COLUMN())),OFFSET($BN$2,0,0,ROW()-1,60),ROW()-1,FALSE))</f>
        <v>0.68075117399999996</v>
      </c>
      <c r="AI17">
        <f ca="1">IF(AND($B$185=1,LEN($AI$213) * LEN($AI$214)&gt;0),($AI$213/$AI$214)*100,HLOOKUP(INDIRECT(ADDRESS(2,COLUMN())),OFFSET($BN$2,0,0,ROW()-1,60),ROW()-1,FALSE))</f>
        <v>2.521212121</v>
      </c>
      <c r="AJ17">
        <f ca="1">IF(AND($B$185=1,LEN($AJ$213) * LEN($AJ$214)&gt;0),($AJ$213/$AJ$214)*100,HLOOKUP(INDIRECT(ADDRESS(2,COLUMN())),OFFSET($BN$2,0,0,ROW()-1,60),ROW()-1,FALSE))</f>
        <v>2.5615763550000001</v>
      </c>
      <c r="AK17">
        <f ca="1">IF(AND($B$185=1,LEN($AK$213) * LEN($AK$214)&gt;0),($AK$213/$AK$214)*100,HLOOKUP(INDIRECT(ADDRESS(2,COLUMN())),OFFSET($BN$2,0,0,ROW()-1,60),ROW()-1,FALSE))</f>
        <v>2.909371782</v>
      </c>
      <c r="AL17" t="str">
        <f ca="1">IF(AND($B$185=1,LEN($AL$213) * LEN($AL$214)&gt;0),($AL$213/$AL$214)*100,HLOOKUP(INDIRECT(ADDRESS(2,COLUMN())),OFFSET($BN$2,0,0,ROW()-1,60),ROW()-1,FALSE))</f>
        <v/>
      </c>
      <c r="AM17">
        <f ca="1">IF(AND($B$185=1,LEN($AM$213) * LEN($AM$214)&gt;0),($AM$213/$AM$214)*100,HLOOKUP(INDIRECT(ADDRESS(2,COLUMN())),OFFSET($BN$2,0,0,ROW()-1,60),ROW()-1,FALSE))</f>
        <v>4.1786367200000001</v>
      </c>
      <c r="AN17">
        <f ca="1">IF(AND($B$185=1,LEN($AN$213) * LEN($AN$214)&gt;0),($AN$213/$AN$214)*100,HLOOKUP(INDIRECT(ADDRESS(2,COLUMN())),OFFSET($BN$2,0,0,ROW()-1,60),ROW()-1,FALSE))</f>
        <v>4.3489720609999996</v>
      </c>
      <c r="AO17">
        <f ca="1">IF(AND($B$185=1,LEN($AO$213) * LEN($AO$214)&gt;0),($AO$213/$AO$214)*100,HLOOKUP(INDIRECT(ADDRESS(2,COLUMN())),OFFSET($BN$2,0,0,ROW()-1,60),ROW()-1,FALSE))</f>
        <v>2.7285129600000002</v>
      </c>
      <c r="AP17">
        <f ca="1">IF(AND($B$185=1,LEN($AP$213) * LEN($AP$214)&gt;0),($AP$213/$AP$214)*100,HLOOKUP(INDIRECT(ADDRESS(2,COLUMN())),OFFSET($BN$2,0,0,ROW()-1,60),ROW()-1,FALSE))</f>
        <v>2.9327796519999998</v>
      </c>
      <c r="AQ17">
        <f ca="1">IF(AND($B$185=1,LEN($AQ$213) * LEN($AQ$214)&gt;0),($AQ$213/$AQ$214)*100,HLOOKUP(INDIRECT(ADDRESS(2,COLUMN())),OFFSET($BN$2,0,0,ROW()-1,60),ROW()-1,FALSE))</f>
        <v>3.3112582779999999</v>
      </c>
      <c r="AR17">
        <f ca="1">IF(AND($B$185=1,LEN($AR$213) * LEN($AR$214)&gt;0),($AR$213/$AR$214)*100,HLOOKUP(INDIRECT(ADDRESS(2,COLUMN())),OFFSET($BN$2,0,0,ROW()-1,60),ROW()-1,FALSE))</f>
        <v>4.2421107090000003</v>
      </c>
      <c r="AS17">
        <f ca="1">IF(AND($B$185=1,LEN($AS$213) * LEN($AS$214)&gt;0),($AS$213/$AS$214)*100,HLOOKUP(INDIRECT(ADDRESS(2,COLUMN())),OFFSET($BN$2,0,0,ROW()-1,60),ROW()-1,FALSE))</f>
        <v>4.3956043960000004</v>
      </c>
      <c r="AT17">
        <f ca="1">IF(AND($B$185=1,LEN($AT$213) * LEN($AT$214)&gt;0),($AT$213/$AT$214)*100,HLOOKUP(INDIRECT(ADDRESS(2,COLUMN())),OFFSET($BN$2,0,0,ROW()-1,60),ROW()-1,FALSE))</f>
        <v>3.42031923</v>
      </c>
      <c r="AU17">
        <f ca="1">IF(AND($B$185=1,LEN($AU$213) * LEN($AU$214)&gt;0),($AU$213/$AU$214)*100,HLOOKUP(INDIRECT(ADDRESS(2,COLUMN())),OFFSET($BN$2,0,0,ROW()-1,60),ROW()-1,FALSE))</f>
        <v>3.6448841449999998</v>
      </c>
      <c r="AV17">
        <f ca="1">IF(AND($B$185=1,LEN($AV$213) * LEN($AV$214)&gt;0),($AV$213/$AV$214)*100,HLOOKUP(INDIRECT(ADDRESS(2,COLUMN())),OFFSET($BN$2,0,0,ROW()-1,60),ROW()-1,FALSE))</f>
        <v>4.7769028870000003</v>
      </c>
      <c r="AW17">
        <f ca="1">IF(AND($B$185=1,LEN($AW$213) * LEN($AW$214)&gt;0),($AW$213/$AW$214)*100,HLOOKUP(INDIRECT(ADDRESS(2,COLUMN())),OFFSET($BN$2,0,0,ROW()-1,60),ROW()-1,FALSE))</f>
        <v>4.2626423090000003</v>
      </c>
      <c r="AX17">
        <f ca="1">IF(AND($B$185=1,LEN($AX$213) * LEN($AX$214)&gt;0),($AX$213/$AX$214)*100,HLOOKUP(INDIRECT(ADDRESS(2,COLUMN())),OFFSET($BN$2,0,0,ROW()-1,60),ROW()-1,FALSE))</f>
        <v>6.653572305</v>
      </c>
      <c r="AY17">
        <f ca="1">IF(AND($B$185=1,LEN($AY$213) * LEN($AY$214)&gt;0),($AY$213/$AY$214)*100,HLOOKUP(INDIRECT(ADDRESS(2,COLUMN())),OFFSET($BN$2,0,0,ROW()-1,60),ROW()-1,FALSE))</f>
        <v>5.076530612</v>
      </c>
      <c r="AZ17">
        <f ca="1">IF(AND($B$185=1,LEN($AZ$213) * LEN($AZ$214)&gt;0),($AZ$213/$AZ$214)*100,HLOOKUP(INDIRECT(ADDRESS(2,COLUMN())),OFFSET($BN$2,0,0,ROW()-1,60),ROW()-1,FALSE))</f>
        <v>4.1092519689999998</v>
      </c>
      <c r="BA17">
        <f ca="1">IF(AND($B$185=1,LEN($BA$213) * LEN($BA$214)&gt;0),($BA$213/$BA$214)*100,HLOOKUP(INDIRECT(ADDRESS(2,COLUMN())),OFFSET($BN$2,0,0,ROW()-1,60),ROW()-1,FALSE))</f>
        <v>5.916561315</v>
      </c>
      <c r="BB17">
        <f ca="1">IF(AND($B$185=1,LEN($BB$213) * LEN($BB$214)&gt;0),($BB$213/$BB$214)*100,HLOOKUP(INDIRECT(ADDRESS(2,COLUMN())),OFFSET($BN$2,0,0,ROW()-1,60),ROW()-1,FALSE))</f>
        <v>0</v>
      </c>
      <c r="BC17">
        <f ca="1">IF(AND($B$185=1,LEN($BC$213) * LEN($BC$214)&gt;0),($BC$213/$BC$214)*100,HLOOKUP(INDIRECT(ADDRESS(2,COLUMN())),OFFSET($BN$2,0,0,ROW()-1,60),ROW()-1,FALSE))</f>
        <v>5.5528375729999997</v>
      </c>
      <c r="BD17">
        <f ca="1">IF(AND($B$185=1,LEN($BD$213) * LEN($BD$214)&gt;0),($BD$213/$BD$214)*100,HLOOKUP(INDIRECT(ADDRESS(2,COLUMN())),OFFSET($BN$2,0,0,ROW()-1,60),ROW()-1,FALSE))</f>
        <v>-4.7750483030000002</v>
      </c>
      <c r="BE17">
        <f ca="1">IF(AND($B$185=1,LEN($BE$213) * LEN($BE$214)&gt;0),($BE$213/$BE$214)*100,HLOOKUP(INDIRECT(ADDRESS(2,COLUMN())),OFFSET($BN$2,0,0,ROW()-1,60),ROW()-1,FALSE))</f>
        <v>6.1629153270000003</v>
      </c>
      <c r="BF17">
        <f ca="1">IF(AND($B$185=1,LEN($BF$213) * LEN($BF$214)&gt;0),($BF$213/$BF$214)*100,HLOOKUP(INDIRECT(ADDRESS(2,COLUMN())),OFFSET($BN$2,0,0,ROW()-1,60),ROW()-1,FALSE))</f>
        <v>4.4237813470000003</v>
      </c>
      <c r="BG17">
        <f ca="1">IF(AND($B$185=1,LEN($BG$213) * LEN($BG$214)&gt;0),($BG$213/$BG$214)*100,HLOOKUP(INDIRECT(ADDRESS(2,COLUMN())),OFFSET($BN$2,0,0,ROW()-1,60),ROW()-1,FALSE))</f>
        <v>5.5869074489999999</v>
      </c>
      <c r="BH17">
        <f ca="1">IF(AND($B$185=1,LEN($BH$213) * LEN($BH$214)&gt;0),($BH$213/$BH$214)*100,HLOOKUP(INDIRECT(ADDRESS(2,COLUMN())),OFFSET($BN$2,0,0,ROW()-1,60),ROW()-1,FALSE))</f>
        <v>4.5252637419999999</v>
      </c>
      <c r="BI17">
        <f ca="1">IF(AND($B$185=1,LEN($BI$213) * LEN($BI$214)&gt;0),($BI$213/$BI$214)*100,HLOOKUP(INDIRECT(ADDRESS(2,COLUMN())),OFFSET($BN$2,0,0,ROW()-1,60),ROW()-1,FALSE))</f>
        <v>5.370421372</v>
      </c>
      <c r="BJ17">
        <f ca="1">IF(AND($B$185=1,LEN($BJ$213) * LEN($BJ$214)&gt;0),($BJ$213/$BJ$214)*100,HLOOKUP(INDIRECT(ADDRESS(2,COLUMN())),OFFSET($BN$2,0,0,ROW()-1,60),ROW()-1,FALSE))</f>
        <v>4.0225467589999999</v>
      </c>
      <c r="BK17">
        <f ca="1">IF(AND($B$185=1,LEN($BK$213) * LEN($BK$214)&gt;0),($BK$213/$BK$214)*100,HLOOKUP(INDIRECT(ADDRESS(2,COLUMN())),OFFSET($BN$2,0,0,ROW()-1,60),ROW()-1,FALSE))</f>
        <v>6.0033351860000002</v>
      </c>
      <c r="BL17">
        <f ca="1">IF(AND($B$185=1,LEN($BL$213) * LEN($BL$214)&gt;0),($BL$213/$BL$214)*100,HLOOKUP(INDIRECT(ADDRESS(2,COLUMN())),OFFSET($BN$2,0,0,ROW()-1,60),ROW()-1,FALSE))</f>
        <v>4.5756646219999997</v>
      </c>
      <c r="BM17">
        <f ca="1">IF(AND($B$185=1,LEN($BM$213) * LEN($BM$214)&gt;0),($BM$213/$BM$214)*100,HLOOKUP(INDIRECT(ADDRESS(2,COLUMN())),OFFSET($BN$2,0,0,ROW()-1,60),ROW()-1,FALSE))</f>
        <v>3.9064576139999998</v>
      </c>
      <c r="BN17">
        <f>2.19148554</f>
        <v>2.19148554</v>
      </c>
      <c r="BO17">
        <f>3.332106038</f>
        <v>3.332106038</v>
      </c>
      <c r="BP17">
        <f>2.420994271</f>
        <v>2.4209942710000001</v>
      </c>
      <c r="BQ17">
        <f>2.857142857</f>
        <v>2.8571428569999999</v>
      </c>
      <c r="BR17">
        <f>2.779332214</f>
        <v>2.7793322140000001</v>
      </c>
      <c r="BS17">
        <f>3.841008981</f>
        <v>3.8410089809999999</v>
      </c>
      <c r="BT17">
        <f>1.851501984</f>
        <v>1.851501984</v>
      </c>
      <c r="BU17">
        <f>3.159021953</f>
        <v>3.1590219529999999</v>
      </c>
      <c r="BV17">
        <f>3.192781537</f>
        <v>3.1927815370000001</v>
      </c>
      <c r="BW17">
        <f>2.577040908</f>
        <v>2.5770409079999999</v>
      </c>
      <c r="BX17">
        <f>3.146989836</f>
        <v>3.1469898359999999</v>
      </c>
      <c r="BY17">
        <f>3.388746803</f>
        <v>3.3887468030000001</v>
      </c>
      <c r="BZ17">
        <f>4.076457968</f>
        <v>4.0764579679999997</v>
      </c>
      <c r="CA17">
        <f>4.771983837</f>
        <v>4.7719838369999996</v>
      </c>
      <c r="CB17">
        <f>4.413970431</f>
        <v>4.4139704310000001</v>
      </c>
      <c r="CC17">
        <f>4.431279621</f>
        <v>4.4312796209999998</v>
      </c>
      <c r="CD17">
        <f>2.352661597</f>
        <v>2.352661597</v>
      </c>
      <c r="CE17">
        <f>3.200186872</f>
        <v>3.2001868720000002</v>
      </c>
      <c r="CF17">
        <f>3.876349362</f>
        <v>3.876349362</v>
      </c>
      <c r="CG17">
        <f>4.843173432</f>
        <v>4.8431734320000004</v>
      </c>
      <c r="CH17">
        <f>2.013422819</f>
        <v>2.0134228190000001</v>
      </c>
      <c r="CI17">
        <f>3.158887317</f>
        <v>3.158887317</v>
      </c>
      <c r="CJ17">
        <f>1.847262897</f>
        <v>1.847262897</v>
      </c>
      <c r="CK17">
        <f>1.516565562</f>
        <v>1.516565562</v>
      </c>
      <c r="CL17">
        <f>1.359447005</f>
        <v>1.359447005</v>
      </c>
      <c r="CM17">
        <f>1.744319486</f>
        <v>1.744319486</v>
      </c>
      <c r="CN17">
        <f>1.942645698</f>
        <v>1.942645698</v>
      </c>
      <c r="CO17">
        <f>2.35952323</f>
        <v>2.3595232300000002</v>
      </c>
      <c r="CP17">
        <f>0.680751174</f>
        <v>0.68075117399999996</v>
      </c>
      <c r="CQ17">
        <f>2.521212121</f>
        <v>2.521212121</v>
      </c>
      <c r="CR17">
        <f>2.561576355</f>
        <v>2.5615763550000001</v>
      </c>
      <c r="CS17">
        <f>2.909371782</f>
        <v>2.909371782</v>
      </c>
      <c r="CT17" t="str">
        <f>""</f>
        <v/>
      </c>
      <c r="CU17">
        <f>4.17863672</f>
        <v>4.1786367200000001</v>
      </c>
      <c r="CV17">
        <f>4.348972061</f>
        <v>4.3489720609999996</v>
      </c>
      <c r="CW17">
        <f>2.72851296</f>
        <v>2.7285129600000002</v>
      </c>
      <c r="CX17">
        <f>2.932779652</f>
        <v>2.9327796519999998</v>
      </c>
      <c r="CY17">
        <f>3.311258278</f>
        <v>3.3112582779999999</v>
      </c>
      <c r="CZ17">
        <f>4.242110709</f>
        <v>4.2421107090000003</v>
      </c>
      <c r="DA17">
        <f>4.395604396</f>
        <v>4.3956043960000004</v>
      </c>
      <c r="DB17">
        <f>3.42031923</f>
        <v>3.42031923</v>
      </c>
      <c r="DC17">
        <f>3.644884145</f>
        <v>3.6448841449999998</v>
      </c>
      <c r="DD17">
        <f>4.776902887</f>
        <v>4.7769028870000003</v>
      </c>
      <c r="DE17">
        <f>4.262642309</f>
        <v>4.2626423090000003</v>
      </c>
      <c r="DF17">
        <f>6.653572305</f>
        <v>6.653572305</v>
      </c>
      <c r="DG17">
        <f>5.076530612</f>
        <v>5.076530612</v>
      </c>
      <c r="DH17">
        <f>4.109251969</f>
        <v>4.1092519689999998</v>
      </c>
      <c r="DI17">
        <f>5.916561315</f>
        <v>5.916561315</v>
      </c>
      <c r="DJ17">
        <f>0</f>
        <v>0</v>
      </c>
      <c r="DK17">
        <f>5.552837573</f>
        <v>5.5528375729999997</v>
      </c>
      <c r="DL17">
        <f>-4.775048303</f>
        <v>-4.7750483030000002</v>
      </c>
      <c r="DM17">
        <f>6.162915327</f>
        <v>6.1629153270000003</v>
      </c>
      <c r="DN17">
        <f>4.423781347</f>
        <v>4.4237813470000003</v>
      </c>
      <c r="DO17">
        <f>5.586907449</f>
        <v>5.5869074489999999</v>
      </c>
      <c r="DP17">
        <f>4.525263742</f>
        <v>4.5252637419999999</v>
      </c>
      <c r="DQ17">
        <f>5.370421372</f>
        <v>5.370421372</v>
      </c>
      <c r="DR17">
        <f>4.022546759</f>
        <v>4.0225467589999999</v>
      </c>
      <c r="DS17">
        <f>6.003335186</f>
        <v>6.0033351860000002</v>
      </c>
      <c r="DT17">
        <f>4.575664622</f>
        <v>4.5756646219999997</v>
      </c>
      <c r="DU17">
        <f>3.906457614</f>
        <v>3.9064576139999998</v>
      </c>
    </row>
    <row r="18" spans="1:125">
      <c r="A18" t="str">
        <f>"    Regions Financial Corp"</f>
        <v xml:space="preserve">    Regions Financial Corp</v>
      </c>
      <c r="B18" t="str">
        <f>"RF US Equity"</f>
        <v>RF US Equity</v>
      </c>
      <c r="E18" t="str">
        <f t="shared" si="0"/>
        <v>Expression</v>
      </c>
      <c r="F18" t="e">
        <f ca="1">IF(AND($B$185=1,LEN($F$215) * LEN($F$216)&gt;0),($F$215/$F$216)*100,HLOOKUP(INDIRECT(ADDRESS(2,COLUMN())),OFFSET($BN$2,0,0,ROW()-1,60),ROW()-1,FALSE))</f>
        <v>#NAME?</v>
      </c>
      <c r="G18">
        <f ca="1">IF(AND($B$185=1,LEN($G$215) * LEN($G$216)&gt;0),($G$215/$G$216)*100,HLOOKUP(INDIRECT(ADDRESS(2,COLUMN())),OFFSET($BN$2,0,0,ROW()-1,60),ROW()-1,FALSE))</f>
        <v>2.011173184</v>
      </c>
      <c r="H18">
        <f ca="1">IF(AND($B$185=1,LEN($H$215) * LEN($H$216)&gt;0),($H$215/$H$216)*100,HLOOKUP(INDIRECT(ADDRESS(2,COLUMN())),OFFSET($BN$2,0,0,ROW()-1,60),ROW()-1,FALSE))</f>
        <v>1.9641825530000001</v>
      </c>
      <c r="I18">
        <f ca="1">IF(AND($B$185=1,LEN($I$215) * LEN($I$216)&gt;0),($I$215/$I$216)*100,HLOOKUP(INDIRECT(ADDRESS(2,COLUMN())),OFFSET($BN$2,0,0,ROW()-1,60),ROW()-1,FALSE))</f>
        <v>2.3468803660000002</v>
      </c>
      <c r="J18">
        <f ca="1">IF(AND($B$185=1,LEN($J$215) * LEN($J$216)&gt;0),($J$215/$J$216)*100,HLOOKUP(INDIRECT(ADDRESS(2,COLUMN())),OFFSET($BN$2,0,0,ROW()-1,60),ROW()-1,FALSE))</f>
        <v>1.711761458</v>
      </c>
      <c r="K18">
        <f ca="1">IF(AND($B$185=1,LEN($K$215) * LEN($K$216)&gt;0),($K$215/$K$216)*100,HLOOKUP(INDIRECT(ADDRESS(2,COLUMN())),OFFSET($BN$2,0,0,ROW()-1,60),ROW()-1,FALSE))</f>
        <v>1.5078082930000001</v>
      </c>
      <c r="L18">
        <f ca="1">IF(AND($B$185=1,LEN($L$215) * LEN($L$216)&gt;0),($L$215/$L$216)*100,HLOOKUP(INDIRECT(ADDRESS(2,COLUMN())),OFFSET($BN$2,0,0,ROW()-1,60),ROW()-1,FALSE))</f>
        <v>1.3285641290000001</v>
      </c>
      <c r="M18">
        <f ca="1">IF(AND($B$185=1,LEN($M$215) * LEN($M$216)&gt;0),($M$215/$M$216)*100,HLOOKUP(INDIRECT(ADDRESS(2,COLUMN())),OFFSET($BN$2,0,0,ROW()-1,60),ROW()-1,FALSE))</f>
        <v>1.2301383910000001</v>
      </c>
      <c r="N18">
        <f ca="1">IF(AND($B$185=1,LEN($N$215) * LEN($N$216)&gt;0),($N$215/$N$216)*100,HLOOKUP(INDIRECT(ADDRESS(2,COLUMN())),OFFSET($BN$2,0,0,ROW()-1,60),ROW()-1,FALSE))</f>
        <v>1.033591731</v>
      </c>
      <c r="O18">
        <f ca="1">IF(AND($B$185=1,LEN($O$215) * LEN($O$216)&gt;0),($O$215/$O$216)*100,HLOOKUP(INDIRECT(ADDRESS(2,COLUMN())),OFFSET($BN$2,0,0,ROW()-1,60),ROW()-1,FALSE))</f>
        <v>1.705069124</v>
      </c>
      <c r="P18">
        <f ca="1">IF(AND($B$185=1,LEN($P$215) * LEN($P$216)&gt;0),($P$215/$P$216)*100,HLOOKUP(INDIRECT(ADDRESS(2,COLUMN())),OFFSET($BN$2,0,0,ROW()-1,60),ROW()-1,FALSE))</f>
        <v>2.5255239120000001</v>
      </c>
      <c r="Q18">
        <f ca="1">IF(AND($B$185=1,LEN($Q$215) * LEN($Q$216)&gt;0),($Q$215/$Q$216)*100,HLOOKUP(INDIRECT(ADDRESS(2,COLUMN())),OFFSET($BN$2,0,0,ROW()-1,60),ROW()-1,FALSE))</f>
        <v>3.0018761729999999</v>
      </c>
      <c r="R18">
        <f ca="1">IF(AND($B$185=1,LEN($R$215) * LEN($R$216)&gt;0),($R$215/$R$216)*100,HLOOKUP(INDIRECT(ADDRESS(2,COLUMN())),OFFSET($BN$2,0,0,ROW()-1,60),ROW()-1,FALSE))</f>
        <v>2.9987760099999998</v>
      </c>
      <c r="S18">
        <f ca="1">IF(AND($B$185=1,LEN($S$215) * LEN($S$216)&gt;0),($S$215/$S$216)*100,HLOOKUP(INDIRECT(ADDRESS(2,COLUMN())),OFFSET($BN$2,0,0,ROW()-1,60),ROW()-1,FALSE))</f>
        <v>2.8200789620000002</v>
      </c>
      <c r="T18">
        <f ca="1">IF(AND($B$185=1,LEN($T$215) * LEN($T$216)&gt;0),($T$215/$T$216)*100,HLOOKUP(INDIRECT(ADDRESS(2,COLUMN())),OFFSET($BN$2,0,0,ROW()-1,60),ROW()-1,FALSE))</f>
        <v>3.3501896329999998</v>
      </c>
      <c r="U18">
        <f ca="1">IF(AND($B$185=1,LEN($U$215) * LEN($U$216)&gt;0),($U$215/$U$216)*100,HLOOKUP(INDIRECT(ADDRESS(2,COLUMN())),OFFSET($BN$2,0,0,ROW()-1,60),ROW()-1,FALSE))</f>
        <v>5.5970149249999999</v>
      </c>
      <c r="V18">
        <f ca="1">IF(AND($B$185=1,LEN($V$215) * LEN($V$216)&gt;0),($V$215/$V$216)*100,HLOOKUP(INDIRECT(ADDRESS(2,COLUMN())),OFFSET($BN$2,0,0,ROW()-1,60),ROW()-1,FALSE))</f>
        <v>3.0502392340000002</v>
      </c>
      <c r="W18">
        <f ca="1">IF(AND($B$185=1,LEN($W$215) * LEN($W$216)&gt;0),($W$215/$W$216)*100,HLOOKUP(INDIRECT(ADDRESS(2,COLUMN())),OFFSET($BN$2,0,0,ROW()-1,60),ROW()-1,FALSE))</f>
        <v>6.5733414489999999</v>
      </c>
      <c r="X18">
        <f ca="1">IF(AND($B$185=1,LEN($X$215) * LEN($X$216)&gt;0),($X$215/$X$216)*100,HLOOKUP(INDIRECT(ADDRESS(2,COLUMN())),OFFSET($BN$2,0,0,ROW()-1,60),ROW()-1,FALSE))</f>
        <v>5.3074433660000002</v>
      </c>
      <c r="Y18">
        <f ca="1">IF(AND($B$185=1,LEN($Y$215) * LEN($Y$216)&gt;0),($Y$215/$Y$216)*100,HLOOKUP(INDIRECT(ADDRESS(2,COLUMN())),OFFSET($BN$2,0,0,ROW()-1,60),ROW()-1,FALSE))</f>
        <v>4.8124557680000004</v>
      </c>
      <c r="Z18">
        <f ca="1">IF(AND($B$185=1,LEN($Z$215) * LEN($Z$216)&gt;0),($Z$215/$Z$216)*100,HLOOKUP(INDIRECT(ADDRESS(2,COLUMN())),OFFSET($BN$2,0,0,ROW()-1,60),ROW()-1,FALSE))</f>
        <v>3.3401499659999998</v>
      </c>
      <c r="AA18">
        <f ca="1">IF(AND($B$185=1,LEN($AA$215) * LEN($AA$216)&gt;0),($AA$215/$AA$216)*100,HLOOKUP(INDIRECT(ADDRESS(2,COLUMN())),OFFSET($BN$2,0,0,ROW()-1,60),ROW()-1,FALSE))</f>
        <v>3.7458193980000001</v>
      </c>
      <c r="AB18">
        <f ca="1">IF(AND($B$185=1,LEN($AB$215) * LEN($AB$216)&gt;0),($AB$215/$AB$216)*100,HLOOKUP(INDIRECT(ADDRESS(2,COLUMN())),OFFSET($BN$2,0,0,ROW()-1,60),ROW()-1,FALSE))</f>
        <v>2.158774373</v>
      </c>
      <c r="AC18">
        <f ca="1">IF(AND($B$185=1,LEN($AC$215) * LEN($AC$216)&gt;0),($AC$215/$AC$216)*100,HLOOKUP(INDIRECT(ADDRESS(2,COLUMN())),OFFSET($BN$2,0,0,ROW()-1,60),ROW()-1,FALSE))</f>
        <v>1.850582591</v>
      </c>
      <c r="AD18">
        <f ca="1">IF(AND($B$185=1,LEN($AD$215) * LEN($AD$216)&gt;0),($AD$215/$AD$216)*100,HLOOKUP(INDIRECT(ADDRESS(2,COLUMN())),OFFSET($BN$2,0,0,ROW()-1,60),ROW()-1,FALSE))</f>
        <v>2.08913649</v>
      </c>
      <c r="AE18">
        <f ca="1">IF(AND($B$185=1,LEN($AE$215) * LEN($AE$216)&gt;0),($AE$215/$AE$216)*100,HLOOKUP(INDIRECT(ADDRESS(2,COLUMN())),OFFSET($BN$2,0,0,ROW()-1,60),ROW()-1,FALSE))</f>
        <v>2.1902806300000002</v>
      </c>
      <c r="AF18">
        <f ca="1">IF(AND($B$185=1,LEN($AF$215) * LEN($AF$216)&gt;0),($AF$215/$AF$216)*100,HLOOKUP(INDIRECT(ADDRESS(2,COLUMN())),OFFSET($BN$2,0,0,ROW()-1,60),ROW()-1,FALSE))</f>
        <v>2.5730180809999998</v>
      </c>
      <c r="AG18">
        <f ca="1">IF(AND($B$185=1,LEN($AG$215) * LEN($AG$216)&gt;0),($AG$215/$AG$216)*100,HLOOKUP(INDIRECT(ADDRESS(2,COLUMN())),OFFSET($BN$2,0,0,ROW()-1,60),ROW()-1,FALSE))</f>
        <v>2.676056338</v>
      </c>
      <c r="AH18">
        <f ca="1">IF(AND($B$185=1,LEN($AH$215) * LEN($AH$216)&gt;0),($AH$215/$AH$216)*100,HLOOKUP(INDIRECT(ADDRESS(2,COLUMN())),OFFSET($BN$2,0,0,ROW()-1,60),ROW()-1,FALSE))</f>
        <v>2.545968883</v>
      </c>
      <c r="AI18">
        <f ca="1">IF(AND($B$185=1,LEN($AI$215) * LEN($AI$216)&gt;0),($AI$215/$AI$216)*100,HLOOKUP(INDIRECT(ADDRESS(2,COLUMN())),OFFSET($BN$2,0,0,ROW()-1,60),ROW()-1,FALSE))</f>
        <v>2.3205221169999999</v>
      </c>
      <c r="AJ18">
        <f ca="1">IF(AND($B$185=1,LEN($AJ$215) * LEN($AJ$216)&gt;0),($AJ$215/$AJ$216)*100,HLOOKUP(INDIRECT(ADDRESS(2,COLUMN())),OFFSET($BN$2,0,0,ROW()-1,60),ROW()-1,FALSE))</f>
        <v>2.9154518949999999</v>
      </c>
      <c r="AK18">
        <f ca="1">IF(AND($B$185=1,LEN($AK$215) * LEN($AK$216)&gt;0),($AK$215/$AK$216)*100,HLOOKUP(INDIRECT(ADDRESS(2,COLUMN())),OFFSET($BN$2,0,0,ROW()-1,60),ROW()-1,FALSE))</f>
        <v>3.0688622749999999</v>
      </c>
      <c r="AL18">
        <f ca="1">IF(AND($B$185=1,LEN($AL$215) * LEN($AL$216)&gt;0),($AL$215/$AL$216)*100,HLOOKUP(INDIRECT(ADDRESS(2,COLUMN())),OFFSET($BN$2,0,0,ROW()-1,60),ROW()-1,FALSE))</f>
        <v>3.4874290349999999</v>
      </c>
      <c r="AM18">
        <f ca="1">IF(AND($B$185=1,LEN($AM$215) * LEN($AM$216)&gt;0),($AM$215/$AM$216)*100,HLOOKUP(INDIRECT(ADDRESS(2,COLUMN())),OFFSET($BN$2,0,0,ROW()-1,60),ROW()-1,FALSE))</f>
        <v>3.2078103210000002</v>
      </c>
      <c r="AN18">
        <f ca="1">IF(AND($B$185=1,LEN($AN$215) * LEN($AN$216)&gt;0),($AN$215/$AN$216)*100,HLOOKUP(INDIRECT(ADDRESS(2,COLUMN())),OFFSET($BN$2,0,0,ROW()-1,60),ROW()-1,FALSE))</f>
        <v>3.3478893740000002</v>
      </c>
      <c r="AO18">
        <f ca="1">IF(AND($B$185=1,LEN($AO$215) * LEN($AO$216)&gt;0),($AO$215/$AO$216)*100,HLOOKUP(INDIRECT(ADDRESS(2,COLUMN())),OFFSET($BN$2,0,0,ROW()-1,60),ROW()-1,FALSE))</f>
        <v>2.7777777779999999</v>
      </c>
      <c r="AP18">
        <f ca="1">IF(AND($B$185=1,LEN($AP$215) * LEN($AP$216)&gt;0),($AP$215/$AP$216)*100,HLOOKUP(INDIRECT(ADDRESS(2,COLUMN())),OFFSET($BN$2,0,0,ROW()-1,60),ROW()-1,FALSE))</f>
        <v>2.7407407410000002</v>
      </c>
      <c r="AQ18">
        <f ca="1">IF(AND($B$185=1,LEN($AQ$215) * LEN($AQ$216)&gt;0),($AQ$215/$AQ$216)*100,HLOOKUP(INDIRECT(ADDRESS(2,COLUMN())),OFFSET($BN$2,0,0,ROW()-1,60),ROW()-1,FALSE))</f>
        <v>2.9257314330000002</v>
      </c>
      <c r="AR18">
        <f ca="1">IF(AND($B$185=1,LEN($AR$215) * LEN($AR$216)&gt;0),($AR$215/$AR$216)*100,HLOOKUP(INDIRECT(ADDRESS(2,COLUMN())),OFFSET($BN$2,0,0,ROW()-1,60),ROW()-1,FALSE))</f>
        <v>3.2624113480000001</v>
      </c>
      <c r="AS18">
        <f ca="1">IF(AND($B$185=1,LEN($AS$215) * LEN($AS$216)&gt;0),($AS$215/$AS$216)*100,HLOOKUP(INDIRECT(ADDRESS(2,COLUMN())),OFFSET($BN$2,0,0,ROW()-1,60),ROW()-1,FALSE))</f>
        <v>3.1128404669999998</v>
      </c>
      <c r="AT18">
        <f ca="1">IF(AND($B$185=1,LEN($AT$215) * LEN($AT$216)&gt;0),($AT$215/$AT$216)*100,HLOOKUP(INDIRECT(ADDRESS(2,COLUMN())),OFFSET($BN$2,0,0,ROW()-1,60),ROW()-1,FALSE))</f>
        <v>2.086553323</v>
      </c>
      <c r="AU18">
        <f ca="1">IF(AND($B$185=1,LEN($AU$215) * LEN($AU$216)&gt;0),($AU$215/$AU$216)*100,HLOOKUP(INDIRECT(ADDRESS(2,COLUMN())),OFFSET($BN$2,0,0,ROW()-1,60),ROW()-1,FALSE))</f>
        <v>2.959028832</v>
      </c>
      <c r="AV18">
        <f ca="1">IF(AND($B$185=1,LEN($AV$215) * LEN($AV$216)&gt;0),($AV$215/$AV$216)*100,HLOOKUP(INDIRECT(ADDRESS(2,COLUMN())),OFFSET($BN$2,0,0,ROW()-1,60),ROW()-1,FALSE))</f>
        <v>3.3127889060000002</v>
      </c>
      <c r="AW18">
        <f ca="1">IF(AND($B$185=1,LEN($AW$215) * LEN($AW$216)&gt;0),($AW$215/$AW$216)*100,HLOOKUP(INDIRECT(ADDRESS(2,COLUMN())),OFFSET($BN$2,0,0,ROW()-1,60),ROW()-1,FALSE))</f>
        <v>3.1421838179999999</v>
      </c>
      <c r="AX18">
        <f ca="1">IF(AND($B$185=1,LEN($AX$215) * LEN($AX$216)&gt;0),($AX$215/$AX$216)*100,HLOOKUP(INDIRECT(ADDRESS(2,COLUMN())),OFFSET($BN$2,0,0,ROW()-1,60),ROW()-1,FALSE))</f>
        <v>3.166421208</v>
      </c>
      <c r="AY18">
        <f ca="1">IF(AND($B$185=1,LEN($AY$215) * LEN($AY$216)&gt;0),($AY$215/$AY$216)*100,HLOOKUP(INDIRECT(ADDRESS(2,COLUMN())),OFFSET($BN$2,0,0,ROW()-1,60),ROW()-1,FALSE))</f>
        <v>3.942380591</v>
      </c>
      <c r="AZ18">
        <f ca="1">IF(AND($B$185=1,LEN($AZ$215) * LEN($AZ$216)&gt;0),($AZ$215/$AZ$216)*100,HLOOKUP(INDIRECT(ADDRESS(2,COLUMN())),OFFSET($BN$2,0,0,ROW()-1,60),ROW()-1,FALSE))</f>
        <v>5.2873563219999999</v>
      </c>
      <c r="BA18">
        <f ca="1">IF(AND($B$185=1,LEN($BA$215) * LEN($BA$216)&gt;0),($BA$215/$BA$216)*100,HLOOKUP(INDIRECT(ADDRESS(2,COLUMN())),OFFSET($BN$2,0,0,ROW()-1,60),ROW()-1,FALSE))</f>
        <v>5.542725173</v>
      </c>
      <c r="BB18">
        <f ca="1">IF(AND($B$185=1,LEN($BB$215) * LEN($BB$216)&gt;0),($BB$215/$BB$216)*100,HLOOKUP(INDIRECT(ADDRESS(2,COLUMN())),OFFSET($BN$2,0,0,ROW()-1,60),ROW()-1,FALSE))</f>
        <v>6.6469719349999998</v>
      </c>
      <c r="BC18">
        <f ca="1">IF(AND($B$185=1,LEN($BC$215) * LEN($BC$216)&gt;0),($BC$215/$BC$216)*100,HLOOKUP(INDIRECT(ADDRESS(2,COLUMN())),OFFSET($BN$2,0,0,ROW()-1,60),ROW()-1,FALSE))</f>
        <v>7.8518518520000002</v>
      </c>
      <c r="BD18">
        <f ca="1">IF(AND($B$185=1,LEN($BD$215) * LEN($BD$216)&gt;0),($BD$215/$BD$216)*100,HLOOKUP(INDIRECT(ADDRESS(2,COLUMN())),OFFSET($BN$2,0,0,ROW()-1,60),ROW()-1,FALSE))</f>
        <v>6.6914498140000003</v>
      </c>
      <c r="BE18">
        <f ca="1">IF(AND($B$185=1,LEN($BE$215) * LEN($BE$216)&gt;0),($BE$215/$BE$216)*100,HLOOKUP(INDIRECT(ADDRESS(2,COLUMN())),OFFSET($BN$2,0,0,ROW()-1,60),ROW()-1,FALSE))</f>
        <v>5.6994818650000001</v>
      </c>
      <c r="BF18">
        <f ca="1">IF(AND($B$185=1,LEN($BF$215) * LEN($BF$216)&gt;0),($BF$215/$BF$216)*100,HLOOKUP(INDIRECT(ADDRESS(2,COLUMN())),OFFSET($BN$2,0,0,ROW()-1,60),ROW()-1,FALSE))</f>
        <v>4.2035398229999998</v>
      </c>
      <c r="BG18">
        <f ca="1">IF(AND($B$185=1,LEN($BG$215) * LEN($BG$216)&gt;0),($BG$215/$BG$216)*100,HLOOKUP(INDIRECT(ADDRESS(2,COLUMN())),OFFSET($BN$2,0,0,ROW()-1,60),ROW()-1,FALSE))</f>
        <v>4.9889948640000004</v>
      </c>
      <c r="BH18">
        <f ca="1">IF(AND($B$185=1,LEN($BH$215) * LEN($BH$216)&gt;0),($BH$215/$BH$216)*100,HLOOKUP(INDIRECT(ADDRESS(2,COLUMN())),OFFSET($BN$2,0,0,ROW()-1,60),ROW()-1,FALSE))</f>
        <v>3.573981415</v>
      </c>
      <c r="BI18">
        <f ca="1">IF(AND($B$185=1,LEN($BI$215) * LEN($BI$216)&gt;0),($BI$215/$BI$216)*100,HLOOKUP(INDIRECT(ADDRESS(2,COLUMN())),OFFSET($BN$2,0,0,ROW()-1,60),ROW()-1,FALSE))</f>
        <v>3.1358885019999998</v>
      </c>
      <c r="BJ18">
        <f ca="1">IF(AND($B$185=1,LEN($BJ$215) * LEN($BJ$216)&gt;0),($BJ$215/$BJ$216)*100,HLOOKUP(INDIRECT(ADDRESS(2,COLUMN())),OFFSET($BN$2,0,0,ROW()-1,60),ROW()-1,FALSE))</f>
        <v>2.8603477289999999</v>
      </c>
      <c r="BK18">
        <f ca="1">IF(AND($B$185=1,LEN($BK$215) * LEN($BK$216)&gt;0),($BK$215/$BK$216)*100,HLOOKUP(INDIRECT(ADDRESS(2,COLUMN())),OFFSET($BN$2,0,0,ROW()-1,60),ROW()-1,FALSE))</f>
        <v>4.0791100120000001</v>
      </c>
      <c r="BL18">
        <f ca="1">IF(AND($B$185=1,LEN($BL$215) * LEN($BL$216)&gt;0),($BL$215/$BL$216)*100,HLOOKUP(INDIRECT(ADDRESS(2,COLUMN())),OFFSET($BN$2,0,0,ROW()-1,60),ROW()-1,FALSE))</f>
        <v>3.9081885860000001</v>
      </c>
      <c r="BM18" t="str">
        <f ca="1">IF(AND($B$185=1,LEN($BM$215) * LEN($BM$216)&gt;0),($BM$215/$BM$216)*100,HLOOKUP(INDIRECT(ADDRESS(2,COLUMN())),OFFSET($BN$2,0,0,ROW()-1,60),ROW()-1,FALSE))</f>
        <v/>
      </c>
      <c r="BN18">
        <f>1.928374656</f>
        <v>1.9283746559999999</v>
      </c>
      <c r="BO18">
        <f>2.011173184</f>
        <v>2.011173184</v>
      </c>
      <c r="BP18">
        <f>1.964182553</f>
        <v>1.9641825530000001</v>
      </c>
      <c r="BQ18">
        <f>2.346880366</f>
        <v>2.3468803660000002</v>
      </c>
      <c r="BR18">
        <f>1.711761458</f>
        <v>1.711761458</v>
      </c>
      <c r="BS18">
        <f>1.507808293</f>
        <v>1.5078082930000001</v>
      </c>
      <c r="BT18">
        <f>1.328564129</f>
        <v>1.3285641290000001</v>
      </c>
      <c r="BU18">
        <f>1.230138391</f>
        <v>1.2301383910000001</v>
      </c>
      <c r="BV18">
        <f>1.033591731</f>
        <v>1.033591731</v>
      </c>
      <c r="BW18">
        <f>1.705069124</f>
        <v>1.705069124</v>
      </c>
      <c r="BX18">
        <f>2.525523912</f>
        <v>2.5255239120000001</v>
      </c>
      <c r="BY18">
        <f>3.001876173</f>
        <v>3.0018761729999999</v>
      </c>
      <c r="BZ18">
        <f>2.99877601</f>
        <v>2.9987760099999998</v>
      </c>
      <c r="CA18">
        <f>2.820078962</f>
        <v>2.8200789620000002</v>
      </c>
      <c r="CB18">
        <f>3.350189633</f>
        <v>3.3501896329999998</v>
      </c>
      <c r="CC18">
        <f>5.597014925</f>
        <v>5.5970149249999999</v>
      </c>
      <c r="CD18">
        <f>3.050239234</f>
        <v>3.0502392340000002</v>
      </c>
      <c r="CE18">
        <f>6.573341449</f>
        <v>6.5733414489999999</v>
      </c>
      <c r="CF18">
        <f>5.307443366</f>
        <v>5.3074433660000002</v>
      </c>
      <c r="CG18">
        <f>4.812455768</f>
        <v>4.8124557680000004</v>
      </c>
      <c r="CH18">
        <f>3.340149966</f>
        <v>3.3401499659999998</v>
      </c>
      <c r="CI18">
        <f>3.745819398</f>
        <v>3.7458193980000001</v>
      </c>
      <c r="CJ18">
        <f>2.158774373</f>
        <v>2.158774373</v>
      </c>
      <c r="CK18">
        <f>1.850582591</f>
        <v>1.850582591</v>
      </c>
      <c r="CL18">
        <f>2.08913649</f>
        <v>2.08913649</v>
      </c>
      <c r="CM18">
        <f>2.19028063</f>
        <v>2.1902806300000002</v>
      </c>
      <c r="CN18">
        <f>2.573018081</f>
        <v>2.5730180809999998</v>
      </c>
      <c r="CO18">
        <f>2.676056338</f>
        <v>2.676056338</v>
      </c>
      <c r="CP18">
        <f>2.545968883</f>
        <v>2.545968883</v>
      </c>
      <c r="CQ18">
        <f>2.320522117</f>
        <v>2.3205221169999999</v>
      </c>
      <c r="CR18">
        <f>2.915451895</f>
        <v>2.9154518949999999</v>
      </c>
      <c r="CS18">
        <f>3.068862275</f>
        <v>3.0688622749999999</v>
      </c>
      <c r="CT18">
        <f>3.487429035</f>
        <v>3.4874290349999999</v>
      </c>
      <c r="CU18">
        <f>3.207810321</f>
        <v>3.2078103210000002</v>
      </c>
      <c r="CV18">
        <f>3.347889374</f>
        <v>3.3478893740000002</v>
      </c>
      <c r="CW18">
        <f>2.777777778</f>
        <v>2.7777777779999999</v>
      </c>
      <c r="CX18">
        <f>2.740740741</f>
        <v>2.7407407410000002</v>
      </c>
      <c r="CY18">
        <f>2.925731433</f>
        <v>2.9257314330000002</v>
      </c>
      <c r="CZ18">
        <f>3.262411348</f>
        <v>3.2624113480000001</v>
      </c>
      <c r="DA18">
        <f>3.112840467</f>
        <v>3.1128404669999998</v>
      </c>
      <c r="DB18">
        <f>2.086553323</f>
        <v>2.086553323</v>
      </c>
      <c r="DC18">
        <f>2.959028832</f>
        <v>2.959028832</v>
      </c>
      <c r="DD18">
        <f>3.312788906</f>
        <v>3.3127889060000002</v>
      </c>
      <c r="DE18">
        <f>3.142183818</f>
        <v>3.1421838179999999</v>
      </c>
      <c r="DF18">
        <f>3.166421208</f>
        <v>3.166421208</v>
      </c>
      <c r="DG18">
        <f>3.942380591</f>
        <v>3.942380591</v>
      </c>
      <c r="DH18">
        <f>5.287356322</f>
        <v>5.2873563219999999</v>
      </c>
      <c r="DI18">
        <f>5.542725173</f>
        <v>5.542725173</v>
      </c>
      <c r="DJ18">
        <f>6.646971935</f>
        <v>6.6469719349999998</v>
      </c>
      <c r="DK18">
        <f>7.851851852</f>
        <v>7.8518518520000002</v>
      </c>
      <c r="DL18">
        <f>6.691449814</f>
        <v>6.6914498140000003</v>
      </c>
      <c r="DM18">
        <f>5.699481865</f>
        <v>5.6994818650000001</v>
      </c>
      <c r="DN18">
        <f>4.203539823</f>
        <v>4.2035398229999998</v>
      </c>
      <c r="DO18">
        <f>4.988994864</f>
        <v>4.9889948640000004</v>
      </c>
      <c r="DP18">
        <f>3.573981415</f>
        <v>3.573981415</v>
      </c>
      <c r="DQ18">
        <f>3.135888502</f>
        <v>3.1358885019999998</v>
      </c>
      <c r="DR18">
        <f>2.860347729</f>
        <v>2.8603477289999999</v>
      </c>
      <c r="DS18">
        <f>4.079110012</f>
        <v>4.0791100120000001</v>
      </c>
      <c r="DT18">
        <f>3.908188586</f>
        <v>3.9081885860000001</v>
      </c>
      <c r="DU18" t="str">
        <f>""</f>
        <v/>
      </c>
    </row>
    <row r="19" spans="1:125">
      <c r="A19" t="str">
        <f>"    Truist Financial Corp"</f>
        <v xml:space="preserve">    Truist Financial Corp</v>
      </c>
      <c r="B19" t="str">
        <f>"TFC US Equity"</f>
        <v>TFC US Equity</v>
      </c>
      <c r="E19" t="str">
        <f t="shared" si="0"/>
        <v>Expression</v>
      </c>
      <c r="F19" t="e">
        <f ca="1">IF(AND($B$185=1,LEN($F$217) * LEN($F$218)&gt;0),($F$217/$F$218)*100,HLOOKUP(INDIRECT(ADDRESS(2,COLUMN())),OFFSET($BN$2,0,0,ROW()-1,60),ROW()-1,FALSE))</f>
        <v>#NAME?</v>
      </c>
      <c r="G19">
        <f ca="1">IF(AND($B$185=1,LEN($G$217) * LEN($G$218)&gt;0),($G$217/$G$218)*100,HLOOKUP(INDIRECT(ADDRESS(2,COLUMN())),OFFSET($BN$2,0,0,ROW()-1,60),ROW()-1,FALSE))</f>
        <v>2.0845624389999999</v>
      </c>
      <c r="H19">
        <f ca="1">IF(AND($B$185=1,LEN($H$217) * LEN($H$218)&gt;0),($H$217/$H$218)*100,HLOOKUP(INDIRECT(ADDRESS(2,COLUMN())),OFFSET($BN$2,0,0,ROW()-1,60),ROW()-1,FALSE))</f>
        <v>-6.6468842730000004</v>
      </c>
      <c r="I19">
        <f ca="1">IF(AND($B$185=1,LEN($I$217) * LEN($I$218)&gt;0),($I$217/$I$218)*100,HLOOKUP(INDIRECT(ADDRESS(2,COLUMN())),OFFSET($BN$2,0,0,ROW()-1,60),ROW()-1,FALSE))</f>
        <v>2.0132835199999999</v>
      </c>
      <c r="J19">
        <f ca="1">IF(AND($B$185=1,LEN($J$217) * LEN($J$218)&gt;0),($J$217/$J$218)*100,HLOOKUP(INDIRECT(ADDRESS(2,COLUMN())),OFFSET($BN$2,0,0,ROW()-1,60),ROW()-1,FALSE))</f>
        <v>1.9254403929999999</v>
      </c>
      <c r="K19">
        <f ca="1">IF(AND($B$185=1,LEN($K$217) * LEN($K$218)&gt;0),($K$217/$K$218)*100,HLOOKUP(INDIRECT(ADDRESS(2,COLUMN())),OFFSET($BN$2,0,0,ROW()-1,60),ROW()-1,FALSE))</f>
        <v>1.7983074750000001</v>
      </c>
      <c r="L19">
        <f ca="1">IF(AND($B$185=1,LEN($L$217) * LEN($L$218)&gt;0),($L$217/$L$218)*100,HLOOKUP(INDIRECT(ADDRESS(2,COLUMN())),OFFSET($BN$2,0,0,ROW()-1,60),ROW()-1,FALSE))</f>
        <v>1.986754967</v>
      </c>
      <c r="M19">
        <f ca="1">IF(AND($B$185=1,LEN($M$217) * LEN($M$218)&gt;0),($M$217/$M$218)*100,HLOOKUP(INDIRECT(ADDRESS(2,COLUMN())),OFFSET($BN$2,0,0,ROW()-1,60),ROW()-1,FALSE))</f>
        <v>2.6853252649999999</v>
      </c>
      <c r="N19">
        <f ca="1">IF(AND($B$185=1,LEN($N$217) * LEN($N$218)&gt;0),($N$217/$N$218)*100,HLOOKUP(INDIRECT(ADDRESS(2,COLUMN())),OFFSET($BN$2,0,0,ROW()-1,60),ROW()-1,FALSE))</f>
        <v>1.884664948</v>
      </c>
      <c r="O19">
        <f ca="1">IF(AND($B$185=1,LEN($O$217) * LEN($O$218)&gt;0),($O$217/$O$218)*100,HLOOKUP(INDIRECT(ADDRESS(2,COLUMN())),OFFSET($BN$2,0,0,ROW()-1,60),ROW()-1,FALSE))</f>
        <v>2.0865401060000002</v>
      </c>
      <c r="P19">
        <f ca="1">IF(AND($B$185=1,LEN($P$217) * LEN($P$218)&gt;0),($P$217/$P$218)*100,HLOOKUP(INDIRECT(ADDRESS(2,COLUMN())),OFFSET($BN$2,0,0,ROW()-1,60),ROW()-1,FALSE))</f>
        <v>1.308576481</v>
      </c>
      <c r="Q19">
        <f ca="1">IF(AND($B$185=1,LEN($Q$217) * LEN($Q$218)&gt;0),($Q$217/$Q$218)*100,HLOOKUP(INDIRECT(ADDRESS(2,COLUMN())),OFFSET($BN$2,0,0,ROW()-1,60),ROW()-1,FALSE))</f>
        <v>1.6713615020000001</v>
      </c>
      <c r="R19">
        <f ca="1">IF(AND($B$185=1,LEN($R$217) * LEN($R$218)&gt;0),($R$217/$R$218)*100,HLOOKUP(INDIRECT(ADDRESS(2,COLUMN())),OFFSET($BN$2,0,0,ROW()-1,60),ROW()-1,FALSE))</f>
        <v>2.8566295359999998</v>
      </c>
      <c r="S19">
        <f ca="1">IF(AND($B$185=1,LEN($S$217) * LEN($S$218)&gt;0),($S$217/$S$218)*100,HLOOKUP(INDIRECT(ADDRESS(2,COLUMN())),OFFSET($BN$2,0,0,ROW()-1,60),ROW()-1,FALSE))</f>
        <v>3.197570561</v>
      </c>
      <c r="T19">
        <f ca="1">IF(AND($B$185=1,LEN($T$217) * LEN($T$218)&gt;0),($T$217/$T$218)*100,HLOOKUP(INDIRECT(ADDRESS(2,COLUMN())),OFFSET($BN$2,0,0,ROW()-1,60),ROW()-1,FALSE))</f>
        <v>2.0707964599999999</v>
      </c>
      <c r="U19">
        <f ca="1">IF(AND($B$185=1,LEN($U$217) * LEN($U$218)&gt;0),($U$217/$U$218)*100,HLOOKUP(INDIRECT(ADDRESS(2,COLUMN())),OFFSET($BN$2,0,0,ROW()-1,60),ROW()-1,FALSE))</f>
        <v>1.824151769</v>
      </c>
      <c r="V19" t="str">
        <f ca="1">IF(AND($B$185=1,LEN($V$217) * LEN($V$218)&gt;0),($V$217/$V$218)*100,HLOOKUP(INDIRECT(ADDRESS(2,COLUMN())),OFFSET($BN$2,0,0,ROW()-1,60),ROW()-1,FALSE))</f>
        <v/>
      </c>
      <c r="W19">
        <f ca="1">IF(AND($B$185=1,LEN($W$217) * LEN($W$218)&gt;0),($W$217/$W$218)*100,HLOOKUP(INDIRECT(ADDRESS(2,COLUMN())),OFFSET($BN$2,0,0,ROW()-1,60),ROW()-1,FALSE))</f>
        <v>3.9662598710000001</v>
      </c>
      <c r="X19">
        <f ca="1">IF(AND($B$185=1,LEN($X$217) * LEN($X$218)&gt;0),($X$217/$X$218)*100,HLOOKUP(INDIRECT(ADDRESS(2,COLUMN())),OFFSET($BN$2,0,0,ROW()-1,60),ROW()-1,FALSE))</f>
        <v>5.8082098450000004</v>
      </c>
      <c r="Y19">
        <f ca="1">IF(AND($B$185=1,LEN($Y$217) * LEN($Y$218)&gt;0),($Y$217/$Y$218)*100,HLOOKUP(INDIRECT(ADDRESS(2,COLUMN())),OFFSET($BN$2,0,0,ROW()-1,60),ROW()-1,FALSE))</f>
        <v>4.3664230970000002</v>
      </c>
      <c r="Z19">
        <f ca="1">IF(AND($B$185=1,LEN($Z$217) * LEN($Z$218)&gt;0),($Z$217/$Z$218)*100,HLOOKUP(INDIRECT(ADDRESS(2,COLUMN())),OFFSET($BN$2,0,0,ROW()-1,60),ROW()-1,FALSE))</f>
        <v>1.7931034480000001</v>
      </c>
      <c r="AA19">
        <f ca="1">IF(AND($B$185=1,LEN($AA$217) * LEN($AA$218)&gt;0),($AA$217/$AA$218)*100,HLOOKUP(INDIRECT(ADDRESS(2,COLUMN())),OFFSET($BN$2,0,0,ROW()-1,60),ROW()-1,FALSE))</f>
        <v>2.6640026639999999</v>
      </c>
      <c r="AB19">
        <f ca="1">IF(AND($B$185=1,LEN($AB$217) * LEN($AB$218)&gt;0),($AB$217/$AB$218)*100,HLOOKUP(INDIRECT(ADDRESS(2,COLUMN())),OFFSET($BN$2,0,0,ROW()-1,60),ROW()-1,FALSE))</f>
        <v>2.9914529910000001</v>
      </c>
      <c r="AC19">
        <f ca="1">IF(AND($B$185=1,LEN($AC$217) * LEN($AC$218)&gt;0),($AC$217/$AC$218)*100,HLOOKUP(INDIRECT(ADDRESS(2,COLUMN())),OFFSET($BN$2,0,0,ROW()-1,60),ROW()-1,FALSE))</f>
        <v>1.690821256</v>
      </c>
      <c r="AD19">
        <f ca="1">IF(AND($B$185=1,LEN($AD$217) * LEN($AD$218)&gt;0),($AD$217/$AD$218)*100,HLOOKUP(INDIRECT(ADDRESS(2,COLUMN())),OFFSET($BN$2,0,0,ROW()-1,60),ROW()-1,FALSE))</f>
        <v>1.972789116</v>
      </c>
      <c r="AE19">
        <f ca="1">IF(AND($B$185=1,LEN($AE$217) * LEN($AE$218)&gt;0),($AE$217/$AE$218)*100,HLOOKUP(INDIRECT(ADDRESS(2,COLUMN())),OFFSET($BN$2,0,0,ROW()-1,60),ROW()-1,FALSE))</f>
        <v>2.6999316470000001</v>
      </c>
      <c r="AF19">
        <f ca="1">IF(AND($B$185=1,LEN($AF$217) * LEN($AF$218)&gt;0),($AF$217/$AF$218)*100,HLOOKUP(INDIRECT(ADDRESS(2,COLUMN())),OFFSET($BN$2,0,0,ROW()-1,60),ROW()-1,FALSE))</f>
        <v>3.2650225769999999</v>
      </c>
      <c r="AG19">
        <f ca="1">IF(AND($B$185=1,LEN($AG$217) * LEN($AG$218)&gt;0),($AG$217/$AG$218)*100,HLOOKUP(INDIRECT(ADDRESS(2,COLUMN())),OFFSET($BN$2,0,0,ROW()-1,60),ROW()-1,FALSE))</f>
        <v>3.519374333</v>
      </c>
      <c r="AH19">
        <f ca="1">IF(AND($B$185=1,LEN($AH$217) * LEN($AH$218)&gt;0),($AH$217/$AH$218)*100,HLOOKUP(INDIRECT(ADDRESS(2,COLUMN())),OFFSET($BN$2,0,0,ROW()-1,60),ROW()-1,FALSE))</f>
        <v>3.6249564310000002</v>
      </c>
      <c r="AI19">
        <f ca="1">IF(AND($B$185=1,LEN($AI$217) * LEN($AI$218)&gt;0),($AI$217/$AI$218)*100,HLOOKUP(INDIRECT(ADDRESS(2,COLUMN())),OFFSET($BN$2,0,0,ROW()-1,60),ROW()-1,FALSE))</f>
        <v>4.0526128689999998</v>
      </c>
      <c r="AJ19">
        <f ca="1">IF(AND($B$185=1,LEN($AJ$217) * LEN($AJ$218)&gt;0),($AJ$217/$AJ$218)*100,HLOOKUP(INDIRECT(ADDRESS(2,COLUMN())),OFFSET($BN$2,0,0,ROW()-1,60),ROW()-1,FALSE))</f>
        <v>3.2924693519999999</v>
      </c>
      <c r="AK19">
        <f ca="1">IF(AND($B$185=1,LEN($AK$217) * LEN($AK$218)&gt;0),($AK$217/$AK$218)*100,HLOOKUP(INDIRECT(ADDRESS(2,COLUMN())),OFFSET($BN$2,0,0,ROW()-1,60),ROW()-1,FALSE))</f>
        <v>3.705035971</v>
      </c>
      <c r="AL19">
        <f ca="1">IF(AND($B$185=1,LEN($AL$217) * LEN($AL$218)&gt;0),($AL$217/$AL$218)*100,HLOOKUP(INDIRECT(ADDRESS(2,COLUMN())),OFFSET($BN$2,0,0,ROW()-1,60),ROW()-1,FALSE))</f>
        <v>3.9237257059999999</v>
      </c>
      <c r="AM19">
        <f ca="1">IF(AND($B$185=1,LEN($AM$217) * LEN($AM$218)&gt;0),($AM$217/$AM$218)*100,HLOOKUP(INDIRECT(ADDRESS(2,COLUMN())),OFFSET($BN$2,0,0,ROW()-1,60),ROW()-1,FALSE))</f>
        <v>5.5515501079999998</v>
      </c>
      <c r="AN19">
        <f ca="1">IF(AND($B$185=1,LEN($AN$217) * LEN($AN$218)&gt;0),($AN$217/$AN$218)*100,HLOOKUP(INDIRECT(ADDRESS(2,COLUMN())),OFFSET($BN$2,0,0,ROW()-1,60),ROW()-1,FALSE))</f>
        <v>4.0407717510000003</v>
      </c>
      <c r="AO19">
        <f ca="1">IF(AND($B$185=1,LEN($AO$217) * LEN($AO$218)&gt;0),($AO$217/$AO$218)*100,HLOOKUP(INDIRECT(ADDRESS(2,COLUMN())),OFFSET($BN$2,0,0,ROW()-1,60),ROW()-1,FALSE))</f>
        <v>3.5756385069999999</v>
      </c>
      <c r="AP19">
        <f ca="1">IF(AND($B$185=1,LEN($AP$217) * LEN($AP$218)&gt;0),($AP$217/$AP$218)*100,HLOOKUP(INDIRECT(ADDRESS(2,COLUMN())),OFFSET($BN$2,0,0,ROW()-1,60),ROW()-1,FALSE))</f>
        <v>4.1286224689999997</v>
      </c>
      <c r="AQ19">
        <f ca="1">IF(AND($B$185=1,LEN($AQ$217) * LEN($AQ$218)&gt;0),($AQ$217/$AQ$218)*100,HLOOKUP(INDIRECT(ADDRESS(2,COLUMN())),OFFSET($BN$2,0,0,ROW()-1,60),ROW()-1,FALSE))</f>
        <v>4.5269168029999998</v>
      </c>
      <c r="AR19">
        <f ca="1">IF(AND($B$185=1,LEN($AR$217) * LEN($AR$218)&gt;0),($AR$217/$AR$218)*100,HLOOKUP(INDIRECT(ADDRESS(2,COLUMN())),OFFSET($BN$2,0,0,ROW()-1,60),ROW()-1,FALSE))</f>
        <v>5.5770055770000004</v>
      </c>
      <c r="AS19">
        <f ca="1">IF(AND($B$185=1,LEN($AS$217) * LEN($AS$218)&gt;0),($AS$217/$AS$218)*100,HLOOKUP(INDIRECT(ADDRESS(2,COLUMN())),OFFSET($BN$2,0,0,ROW()-1,60),ROW()-1,FALSE))</f>
        <v>4.763967085</v>
      </c>
      <c r="AT19">
        <f ca="1">IF(AND($B$185=1,LEN($AT$217) * LEN($AT$218)&gt;0),($AT$217/$AT$218)*100,HLOOKUP(INDIRECT(ADDRESS(2,COLUMN())),OFFSET($BN$2,0,0,ROW()-1,60),ROW()-1,FALSE))</f>
        <v>5.4724241129999998</v>
      </c>
      <c r="AU19">
        <f ca="1">IF(AND($B$185=1,LEN($AU$217) * LEN($AU$218)&gt;0),($AU$217/$AU$218)*100,HLOOKUP(INDIRECT(ADDRESS(2,COLUMN())),OFFSET($BN$2,0,0,ROW()-1,60),ROW()-1,FALSE))</f>
        <v>4.6827133480000001</v>
      </c>
      <c r="AV19">
        <f ca="1">IF(AND($B$185=1,LEN($AV$217) * LEN($AV$218)&gt;0),($AV$217/$AV$218)*100,HLOOKUP(INDIRECT(ADDRESS(2,COLUMN())),OFFSET($BN$2,0,0,ROW()-1,60),ROW()-1,FALSE))</f>
        <v>3.7785588749999999</v>
      </c>
      <c r="AW19">
        <f ca="1">IF(AND($B$185=1,LEN($AW$217) * LEN($AW$218)&gt;0),($AW$217/$AW$218)*100,HLOOKUP(INDIRECT(ADDRESS(2,COLUMN())),OFFSET($BN$2,0,0,ROW()-1,60),ROW()-1,FALSE))</f>
        <v>3.2541776609999999</v>
      </c>
      <c r="AX19">
        <f ca="1">IF(AND($B$185=1,LEN($AX$217) * LEN($AX$218)&gt;0),($AX$217/$AX$218)*100,HLOOKUP(INDIRECT(ADDRESS(2,COLUMN())),OFFSET($BN$2,0,0,ROW()-1,60),ROW()-1,FALSE))</f>
        <v>4.2607584149999997</v>
      </c>
      <c r="AY19">
        <f ca="1">IF(AND($B$185=1,LEN($AY$217) * LEN($AY$218)&gt;0),($AY$217/$AY$218)*100,HLOOKUP(INDIRECT(ADDRESS(2,COLUMN())),OFFSET($BN$2,0,0,ROW()-1,60),ROW()-1,FALSE))</f>
        <v>5.03875969</v>
      </c>
      <c r="AZ19">
        <f ca="1">IF(AND($B$185=1,LEN($AZ$217) * LEN($AZ$218)&gt;0),($AZ$217/$AZ$218)*100,HLOOKUP(INDIRECT(ADDRESS(2,COLUMN())),OFFSET($BN$2,0,0,ROW()-1,60),ROW()-1,FALSE))</f>
        <v>6.8264932949999997</v>
      </c>
      <c r="BA19">
        <f ca="1">IF(AND($B$185=1,LEN($BA$217) * LEN($BA$218)&gt;0),($BA$217/$BA$218)*100,HLOOKUP(INDIRECT(ADDRESS(2,COLUMN())),OFFSET($BN$2,0,0,ROW()-1,60),ROW()-1,FALSE))</f>
        <v>7.4288072639999996</v>
      </c>
      <c r="BB19">
        <f ca="1">IF(AND($B$185=1,LEN($BB$217) * LEN($BB$218)&gt;0),($BB$217/$BB$218)*100,HLOOKUP(INDIRECT(ADDRESS(2,COLUMN())),OFFSET($BN$2,0,0,ROW()-1,60),ROW()-1,FALSE))</f>
        <v>9.254807692</v>
      </c>
      <c r="BC19">
        <f ca="1">IF(AND($B$185=1,LEN($BC$217) * LEN($BC$218)&gt;0),($BC$217/$BC$218)*100,HLOOKUP(INDIRECT(ADDRESS(2,COLUMN())),OFFSET($BN$2,0,0,ROW()-1,60),ROW()-1,FALSE))</f>
        <v>8.6263287000000002</v>
      </c>
      <c r="BD19">
        <f ca="1">IF(AND($B$185=1,LEN($BD$217) * LEN($BD$218)&gt;0),($BD$217/$BD$218)*100,HLOOKUP(INDIRECT(ADDRESS(2,COLUMN())),OFFSET($BN$2,0,0,ROW()-1,60),ROW()-1,FALSE))</f>
        <v>7.4958813839999996</v>
      </c>
      <c r="BE19">
        <f ca="1">IF(AND($B$185=1,LEN($BE$217) * LEN($BE$218)&gt;0),($BE$217/$BE$218)*100,HLOOKUP(INDIRECT(ADDRESS(2,COLUMN())),OFFSET($BN$2,0,0,ROW()-1,60),ROW()-1,FALSE))</f>
        <v>9.3628088429999998</v>
      </c>
      <c r="BF19">
        <f ca="1">IF(AND($B$185=1,LEN($BF$217) * LEN($BF$218)&gt;0),($BF$217/$BF$218)*100,HLOOKUP(INDIRECT(ADDRESS(2,COLUMN())),OFFSET($BN$2,0,0,ROW()-1,60),ROW()-1,FALSE))</f>
        <v>5.6866048859999996</v>
      </c>
      <c r="BG19">
        <f ca="1">IF(AND($B$185=1,LEN($BG$217) * LEN($BG$218)&gt;0),($BG$217/$BG$218)*100,HLOOKUP(INDIRECT(ADDRESS(2,COLUMN())),OFFSET($BN$2,0,0,ROW()-1,60),ROW()-1,FALSE))</f>
        <v>5.8404558399999997</v>
      </c>
      <c r="BH19">
        <f ca="1">IF(AND($B$185=1,LEN($BH$217) * LEN($BH$218)&gt;0),($BH$217/$BH$218)*100,HLOOKUP(INDIRECT(ADDRESS(2,COLUMN())),OFFSET($BN$2,0,0,ROW()-1,60),ROW()-1,FALSE))</f>
        <v>3.8766931339999999</v>
      </c>
      <c r="BI19">
        <f ca="1">IF(AND($B$185=1,LEN($BI$217) * LEN($BI$218)&gt;0),($BI$217/$BI$218)*100,HLOOKUP(INDIRECT(ADDRESS(2,COLUMN())),OFFSET($BN$2,0,0,ROW()-1,60),ROW()-1,FALSE))</f>
        <v>4.7523761880000004</v>
      </c>
      <c r="BJ19">
        <f ca="1">IF(AND($B$185=1,LEN($BJ$217) * LEN($BJ$218)&gt;0),($BJ$217/$BJ$218)*100,HLOOKUP(INDIRECT(ADDRESS(2,COLUMN())),OFFSET($BN$2,0,0,ROW()-1,60),ROW()-1,FALSE))</f>
        <v>6.0104529619999996</v>
      </c>
      <c r="BK19">
        <f ca="1">IF(AND($B$185=1,LEN($BK$217) * LEN($BK$218)&gt;0),($BK$217/$BK$218)*100,HLOOKUP(INDIRECT(ADDRESS(2,COLUMN())),OFFSET($BN$2,0,0,ROW()-1,60),ROW()-1,FALSE))</f>
        <v>7.5907590760000003</v>
      </c>
      <c r="BL19">
        <f ca="1">IF(AND($B$185=1,LEN($BL$217) * LEN($BL$218)&gt;0),($BL$217/$BL$218)*100,HLOOKUP(INDIRECT(ADDRESS(2,COLUMN())),OFFSET($BN$2,0,0,ROW()-1,60),ROW()-1,FALSE))</f>
        <v>4.5852438519999996</v>
      </c>
      <c r="BM19" t="str">
        <f ca="1">IF(AND($B$185=1,LEN($BM$217) * LEN($BM$218)&gt;0),($BM$217/$BM$218)*100,HLOOKUP(INDIRECT(ADDRESS(2,COLUMN())),OFFSET($BN$2,0,0,ROW()-1,60),ROW()-1,FALSE))</f>
        <v/>
      </c>
      <c r="BN19">
        <f>2.312252964</f>
        <v>2.3122529639999998</v>
      </c>
      <c r="BO19">
        <f>2.084562439</f>
        <v>2.0845624389999999</v>
      </c>
      <c r="BP19">
        <f>-6.646884273</f>
        <v>-6.6468842730000004</v>
      </c>
      <c r="BQ19">
        <f>2.01328352</f>
        <v>2.0132835199999999</v>
      </c>
      <c r="BR19">
        <f>1.925440393</f>
        <v>1.9254403929999999</v>
      </c>
      <c r="BS19">
        <f>1.798307475</f>
        <v>1.7983074750000001</v>
      </c>
      <c r="BT19">
        <f>1.986754967</f>
        <v>1.986754967</v>
      </c>
      <c r="BU19">
        <f>2.685325265</f>
        <v>2.6853252649999999</v>
      </c>
      <c r="BV19">
        <f>1.884664948</f>
        <v>1.884664948</v>
      </c>
      <c r="BW19">
        <f>2.086540106</f>
        <v>2.0865401060000002</v>
      </c>
      <c r="BX19">
        <f>1.308576481</f>
        <v>1.308576481</v>
      </c>
      <c r="BY19">
        <f>1.671361502</f>
        <v>1.6713615020000001</v>
      </c>
      <c r="BZ19">
        <f>2.856629536</f>
        <v>2.8566295359999998</v>
      </c>
      <c r="CA19">
        <f>3.197570561</f>
        <v>3.197570561</v>
      </c>
      <c r="CB19">
        <f>2.07079646</f>
        <v>2.0707964599999999</v>
      </c>
      <c r="CC19">
        <f>1.824151769</f>
        <v>1.824151769</v>
      </c>
      <c r="CD19" t="str">
        <f>""</f>
        <v/>
      </c>
      <c r="CE19">
        <f>3.966259871</f>
        <v>3.9662598710000001</v>
      </c>
      <c r="CF19">
        <f>5.808209845</f>
        <v>5.8082098450000004</v>
      </c>
      <c r="CG19">
        <f>4.366423097</f>
        <v>4.3664230970000002</v>
      </c>
      <c r="CH19">
        <f>1.793103448</f>
        <v>1.7931034480000001</v>
      </c>
      <c r="CI19">
        <f>2.664002664</f>
        <v>2.6640026639999999</v>
      </c>
      <c r="CJ19">
        <f>2.991452991</f>
        <v>2.9914529910000001</v>
      </c>
      <c r="CK19">
        <f>1.690821256</f>
        <v>1.690821256</v>
      </c>
      <c r="CL19">
        <f>1.972789116</f>
        <v>1.972789116</v>
      </c>
      <c r="CM19">
        <f>2.699931647</f>
        <v>2.6999316470000001</v>
      </c>
      <c r="CN19">
        <f>3.265022577</f>
        <v>3.2650225769999999</v>
      </c>
      <c r="CO19">
        <f>3.519374333</f>
        <v>3.519374333</v>
      </c>
      <c r="CP19">
        <f>3.624956431</f>
        <v>3.6249564310000002</v>
      </c>
      <c r="CQ19">
        <f>4.052612869</f>
        <v>4.0526128689999998</v>
      </c>
      <c r="CR19">
        <f>3.292469352</f>
        <v>3.2924693519999999</v>
      </c>
      <c r="CS19">
        <f>3.705035971</f>
        <v>3.705035971</v>
      </c>
      <c r="CT19">
        <f>3.923725706</f>
        <v>3.9237257059999999</v>
      </c>
      <c r="CU19">
        <f>5.551550108</f>
        <v>5.5515501079999998</v>
      </c>
      <c r="CV19">
        <f>4.040771751</f>
        <v>4.0407717510000003</v>
      </c>
      <c r="CW19">
        <f>3.575638507</f>
        <v>3.5756385069999999</v>
      </c>
      <c r="CX19">
        <f>4.128622469</f>
        <v>4.1286224689999997</v>
      </c>
      <c r="CY19">
        <f>4.526916803</f>
        <v>4.5269168029999998</v>
      </c>
      <c r="CZ19">
        <f>5.577005577</f>
        <v>5.5770055770000004</v>
      </c>
      <c r="DA19">
        <f>4.763967085</f>
        <v>4.763967085</v>
      </c>
      <c r="DB19">
        <f>5.472424113</f>
        <v>5.4724241129999998</v>
      </c>
      <c r="DC19">
        <f>4.682713348</f>
        <v>4.6827133480000001</v>
      </c>
      <c r="DD19">
        <f>3.778558875</f>
        <v>3.7785588749999999</v>
      </c>
      <c r="DE19">
        <f>3.254177661</f>
        <v>3.2541776609999999</v>
      </c>
      <c r="DF19">
        <f>4.260758415</f>
        <v>4.2607584149999997</v>
      </c>
      <c r="DG19">
        <f>5.03875969</f>
        <v>5.03875969</v>
      </c>
      <c r="DH19">
        <f>6.826493295</f>
        <v>6.8264932949999997</v>
      </c>
      <c r="DI19">
        <f>7.428807264</f>
        <v>7.4288072639999996</v>
      </c>
      <c r="DJ19">
        <f>9.254807692</f>
        <v>9.254807692</v>
      </c>
      <c r="DK19">
        <f>8.6263287</f>
        <v>8.6263287000000002</v>
      </c>
      <c r="DL19">
        <f>7.495881384</f>
        <v>7.4958813839999996</v>
      </c>
      <c r="DM19">
        <f>9.362808843</f>
        <v>9.3628088429999998</v>
      </c>
      <c r="DN19">
        <f>5.686604886</f>
        <v>5.6866048859999996</v>
      </c>
      <c r="DO19">
        <f>5.84045584</f>
        <v>5.8404558399999997</v>
      </c>
      <c r="DP19">
        <f>3.876693134</f>
        <v>3.8766931339999999</v>
      </c>
      <c r="DQ19">
        <f>4.752376188</f>
        <v>4.7523761880000004</v>
      </c>
      <c r="DR19">
        <f>6.010452962</f>
        <v>6.0104529619999996</v>
      </c>
      <c r="DS19">
        <f>7.590759076</f>
        <v>7.5907590760000003</v>
      </c>
      <c r="DT19">
        <f>4.585243852</f>
        <v>4.5852438519999996</v>
      </c>
      <c r="DU19" t="str">
        <f>""</f>
        <v/>
      </c>
    </row>
    <row r="20" spans="1:125">
      <c r="A20" t="str">
        <f>"    US Bancorp"</f>
        <v xml:space="preserve">    US Bancorp</v>
      </c>
      <c r="B20" t="str">
        <f>"USB US Equity"</f>
        <v>USB US Equity</v>
      </c>
      <c r="E20" t="str">
        <f t="shared" si="0"/>
        <v>Expression</v>
      </c>
      <c r="F20" t="e">
        <f ca="1">IF(AND($B$185=1,LEN($F$219) * LEN($F$220)&gt;0),($F$219/$F$220)*100,HLOOKUP(INDIRECT(ADDRESS(2,COLUMN())),OFFSET($BN$2,0,0,ROW()-1,60),ROW()-1,FALSE))</f>
        <v>#NAME?</v>
      </c>
      <c r="G20">
        <f ca="1">IF(AND($B$185=1,LEN($G$219) * LEN($G$220)&gt;0),($G$219/$G$220)*100,HLOOKUP(INDIRECT(ADDRESS(2,COLUMN())),OFFSET($BN$2,0,0,ROW()-1,60),ROW()-1,FALSE))</f>
        <v>2.2684033370000001</v>
      </c>
      <c r="H20">
        <f ca="1">IF(AND($B$185=1,LEN($H$219) * LEN($H$220)&gt;0),($H$219/$H$220)*100,HLOOKUP(INDIRECT(ADDRESS(2,COLUMN())),OFFSET($BN$2,0,0,ROW()-1,60),ROW()-1,FALSE))</f>
        <v>2.7785902309999999</v>
      </c>
      <c r="I20">
        <f ca="1">IF(AND($B$185=1,LEN($I$219) * LEN($I$220)&gt;0),($I$219/$I$220)*100,HLOOKUP(INDIRECT(ADDRESS(2,COLUMN())),OFFSET($BN$2,0,0,ROW()-1,60),ROW()-1,FALSE))</f>
        <v>2.483171279</v>
      </c>
      <c r="J20">
        <f ca="1">IF(AND($B$185=1,LEN($J$219) * LEN($J$220)&gt;0),($J$219/$J$220)*100,HLOOKUP(INDIRECT(ADDRESS(2,COLUMN())),OFFSET($BN$2,0,0,ROW()-1,60),ROW()-1,FALSE))</f>
        <v>2.0353587879999999</v>
      </c>
      <c r="K20">
        <f ca="1">IF(AND($B$185=1,LEN($K$219) * LEN($K$220)&gt;0),($K$219/$K$220)*100,HLOOKUP(INDIRECT(ADDRESS(2,COLUMN())),OFFSET($BN$2,0,0,ROW()-1,60),ROW()-1,FALSE))</f>
        <v>2.0571428570000001</v>
      </c>
      <c r="L20">
        <f ca="1">IF(AND($B$185=1,LEN($L$219) * LEN($L$220)&gt;0),($L$219/$L$220)*100,HLOOKUP(INDIRECT(ADDRESS(2,COLUMN())),OFFSET($BN$2,0,0,ROW()-1,60),ROW()-1,FALSE))</f>
        <v>1.834476964</v>
      </c>
      <c r="M20">
        <f ca="1">IF(AND($B$185=1,LEN($M$219) * LEN($M$220)&gt;0),($M$219/$M$220)*100,HLOOKUP(INDIRECT(ADDRESS(2,COLUMN())),OFFSET($BN$2,0,0,ROW()-1,60),ROW()-1,FALSE))</f>
        <v>1.792466041</v>
      </c>
      <c r="N20">
        <f ca="1">IF(AND($B$185=1,LEN($N$219) * LEN($N$220)&gt;0),($N$219/$N$220)*100,HLOOKUP(INDIRECT(ADDRESS(2,COLUMN())),OFFSET($BN$2,0,0,ROW()-1,60),ROW()-1,FALSE))</f>
        <v>1.641414141</v>
      </c>
      <c r="O20">
        <f ca="1">IF(AND($B$185=1,LEN($O$219) * LEN($O$220)&gt;0),($O$219/$O$220)*100,HLOOKUP(INDIRECT(ADDRESS(2,COLUMN())),OFFSET($BN$2,0,0,ROW()-1,60),ROW()-1,FALSE))</f>
        <v>1.286531131</v>
      </c>
      <c r="P20">
        <f ca="1">IF(AND($B$185=1,LEN($P$219) * LEN($P$220)&gt;0),($P$219/$P$220)*100,HLOOKUP(INDIRECT(ADDRESS(2,COLUMN())),OFFSET($BN$2,0,0,ROW()-1,60),ROW()-1,FALSE))</f>
        <v>2.3733912749999999</v>
      </c>
      <c r="Q20">
        <f ca="1">IF(AND($B$185=1,LEN($Q$219) * LEN($Q$220)&gt;0),($Q$219/$Q$220)*100,HLOOKUP(INDIRECT(ADDRESS(2,COLUMN())),OFFSET($BN$2,0,0,ROW()-1,60),ROW()-1,FALSE))</f>
        <v>3.5913090319999998</v>
      </c>
      <c r="R20">
        <f ca="1">IF(AND($B$185=1,LEN($R$219) * LEN($R$220)&gt;0),($R$219/$R$220)*100,HLOOKUP(INDIRECT(ADDRESS(2,COLUMN())),OFFSET($BN$2,0,0,ROW()-1,60),ROW()-1,FALSE))</f>
        <v>5.2678097929999996</v>
      </c>
      <c r="S20">
        <f ca="1">IF(AND($B$185=1,LEN($S$219) * LEN($S$220)&gt;0),($S$219/$S$220)*100,HLOOKUP(INDIRECT(ADDRESS(2,COLUMN())),OFFSET($BN$2,0,0,ROW()-1,60),ROW()-1,FALSE))</f>
        <v>7.128240109</v>
      </c>
      <c r="T20">
        <f ca="1">IF(AND($B$185=1,LEN($T$219) * LEN($T$220)&gt;0),($T$219/$T$220)*100,HLOOKUP(INDIRECT(ADDRESS(2,COLUMN())),OFFSET($BN$2,0,0,ROW()-1,60),ROW()-1,FALSE))</f>
        <v>6.0111188330000003</v>
      </c>
      <c r="U20">
        <f ca="1">IF(AND($B$185=1,LEN($U$219) * LEN($U$220)&gt;0),($U$219/$U$220)*100,HLOOKUP(INDIRECT(ADDRESS(2,COLUMN())),OFFSET($BN$2,0,0,ROW()-1,60),ROW()-1,FALSE))</f>
        <v>5.4922850839999997</v>
      </c>
      <c r="V20">
        <f ca="1">IF(AND($B$185=1,LEN($V$219) * LEN($V$220)&gt;0),($V$219/$V$220)*100,HLOOKUP(INDIRECT(ADDRESS(2,COLUMN())),OFFSET($BN$2,0,0,ROW()-1,60),ROW()-1,FALSE))</f>
        <v>8.1746724890000007</v>
      </c>
      <c r="W20">
        <f ca="1">IF(AND($B$185=1,LEN($W$219) * LEN($W$220)&gt;0),($W$219/$W$220)*100,HLOOKUP(INDIRECT(ADDRESS(2,COLUMN())),OFFSET($BN$2,0,0,ROW()-1,60),ROW()-1,FALSE))</f>
        <v>9.3113318740000004</v>
      </c>
      <c r="X20">
        <f ca="1">IF(AND($B$185=1,LEN($X$219) * LEN($X$220)&gt;0),($X$219/$X$220)*100,HLOOKUP(INDIRECT(ADDRESS(2,COLUMN())),OFFSET($BN$2,0,0,ROW()-1,60),ROW()-1,FALSE))</f>
        <v>11.14551084</v>
      </c>
      <c r="Y20">
        <f ca="1">IF(AND($B$185=1,LEN($Y$219) * LEN($Y$220)&gt;0),($Y$219/$Y$220)*100,HLOOKUP(INDIRECT(ADDRESS(2,COLUMN())),OFFSET($BN$2,0,0,ROW()-1,60),ROW()-1,FALSE))</f>
        <v>6.8719554629999999</v>
      </c>
      <c r="Z20">
        <f ca="1">IF(AND($B$185=1,LEN($Z$219) * LEN($Z$220)&gt;0),($Z$219/$Z$220)*100,HLOOKUP(INDIRECT(ADDRESS(2,COLUMN())),OFFSET($BN$2,0,0,ROW()-1,60),ROW()-1,FALSE))</f>
        <v>4.323941166</v>
      </c>
      <c r="AA20">
        <f ca="1">IF(AND($B$185=1,LEN($AA$219) * LEN($AA$220)&gt;0),($AA$219/$AA$220)*100,HLOOKUP(INDIRECT(ADDRESS(2,COLUMN())),OFFSET($BN$2,0,0,ROW()-1,60),ROW()-1,FALSE))</f>
        <v>4.6140797290000002</v>
      </c>
      <c r="AB20">
        <f ca="1">IF(AND($B$185=1,LEN($AB$219) * LEN($AB$220)&gt;0),($AB$219/$AB$220)*100,HLOOKUP(INDIRECT(ADDRESS(2,COLUMN())),OFFSET($BN$2,0,0,ROW()-1,60),ROW()-1,FALSE))</f>
        <v>3.2614322690000002</v>
      </c>
      <c r="AC20">
        <f ca="1">IF(AND($B$185=1,LEN($AC$219) * LEN($AC$220)&gt;0),($AC$219/$AC$220)*100,HLOOKUP(INDIRECT(ADDRESS(2,COLUMN())),OFFSET($BN$2,0,0,ROW()-1,60),ROW()-1,FALSE))</f>
        <v>3.0450450450000002</v>
      </c>
      <c r="AD20">
        <f ca="1">IF(AND($B$185=1,LEN($AD$219) * LEN($AD$220)&gt;0),($AD$219/$AD$220)*100,HLOOKUP(INDIRECT(ADDRESS(2,COLUMN())),OFFSET($BN$2,0,0,ROW()-1,60),ROW()-1,FALSE))</f>
        <v>2.9477676260000001</v>
      </c>
      <c r="AE20">
        <f ca="1">IF(AND($B$185=1,LEN($AE$219) * LEN($AE$220)&gt;0),($AE$219/$AE$220)*100,HLOOKUP(INDIRECT(ADDRESS(2,COLUMN())),OFFSET($BN$2,0,0,ROW()-1,60),ROW()-1,FALSE))</f>
        <v>3.0693243959999998</v>
      </c>
      <c r="AF20">
        <f ca="1">IF(AND($B$185=1,LEN($AF$219) * LEN($AF$220)&gt;0),($AF$219/$AF$220)*100,HLOOKUP(INDIRECT(ADDRESS(2,COLUMN())),OFFSET($BN$2,0,0,ROW()-1,60),ROW()-1,FALSE))</f>
        <v>3.404027803</v>
      </c>
      <c r="AG20">
        <f ca="1">IF(AND($B$185=1,LEN($AG$219) * LEN($AG$220)&gt;0),($AG$219/$AG$220)*100,HLOOKUP(INDIRECT(ADDRESS(2,COLUMN())),OFFSET($BN$2,0,0,ROW()-1,60),ROW()-1,FALSE))</f>
        <v>3.3823529410000002</v>
      </c>
      <c r="AH20">
        <f ca="1">IF(AND($B$185=1,LEN($AH$219) * LEN($AH$220)&gt;0),($AH$219/$AH$220)*100,HLOOKUP(INDIRECT(ADDRESS(2,COLUMN())),OFFSET($BN$2,0,0,ROW()-1,60),ROW()-1,FALSE))</f>
        <v>3.6429215510000001</v>
      </c>
      <c r="AI20">
        <f ca="1">IF(AND($B$185=1,LEN($AI$219) * LEN($AI$220)&gt;0),($AI$219/$AI$220)*100,HLOOKUP(INDIRECT(ADDRESS(2,COLUMN())),OFFSET($BN$2,0,0,ROW()-1,60),ROW()-1,FALSE))</f>
        <v>3.8614938360000002</v>
      </c>
      <c r="AJ20">
        <f ca="1">IF(AND($B$185=1,LEN($AJ$219) * LEN($AJ$220)&gt;0),($AJ$219/$AJ$220)*100,HLOOKUP(INDIRECT(ADDRESS(2,COLUMN())),OFFSET($BN$2,0,0,ROW()-1,60),ROW()-1,FALSE))</f>
        <v>3.9281082079999998</v>
      </c>
      <c r="AK20">
        <f ca="1">IF(AND($B$185=1,LEN($AK$219) * LEN($AK$220)&gt;0),($AK$219/$AK$220)*100,HLOOKUP(INDIRECT(ADDRESS(2,COLUMN())),OFFSET($BN$2,0,0,ROW()-1,60),ROW()-1,FALSE))</f>
        <v>3.9511357130000002</v>
      </c>
      <c r="AL20">
        <f ca="1">IF(AND($B$185=1,LEN($AL$219) * LEN($AL$220)&gt;0),($AL$219/$AL$220)*100,HLOOKUP(INDIRECT(ADDRESS(2,COLUMN())),OFFSET($BN$2,0,0,ROW()-1,60),ROW()-1,FALSE))</f>
        <v>4.4559970289999997</v>
      </c>
      <c r="AM20">
        <f ca="1">IF(AND($B$185=1,LEN($AM$219) * LEN($AM$220)&gt;0),($AM$219/$AM$220)*100,HLOOKUP(INDIRECT(ADDRESS(2,COLUMN())),OFFSET($BN$2,0,0,ROW()-1,60),ROW()-1,FALSE))</f>
        <v>5.8823529409999997</v>
      </c>
      <c r="AN20">
        <f ca="1">IF(AND($B$185=1,LEN($AN$219) * LEN($AN$220)&gt;0),($AN$219/$AN$220)*100,HLOOKUP(INDIRECT(ADDRESS(2,COLUMN())),OFFSET($BN$2,0,0,ROW()-1,60),ROW()-1,FALSE))</f>
        <v>4.4098573280000002</v>
      </c>
      <c r="AO20">
        <f ca="1">IF(AND($B$185=1,LEN($AO$219) * LEN($AO$220)&gt;0),($AO$219/$AO$220)*100,HLOOKUP(INDIRECT(ADDRESS(2,COLUMN())),OFFSET($BN$2,0,0,ROW()-1,60),ROW()-1,FALSE))</f>
        <v>3.7520064209999999</v>
      </c>
      <c r="AP20">
        <f ca="1">IF(AND($B$185=1,LEN($AP$219) * LEN($AP$220)&gt;0),($AP$219/$AP$220)*100,HLOOKUP(INDIRECT(ADDRESS(2,COLUMN())),OFFSET($BN$2,0,0,ROW()-1,60),ROW()-1,FALSE))</f>
        <v>4.0899399110000001</v>
      </c>
      <c r="AQ20">
        <f ca="1">IF(AND($B$185=1,LEN($AQ$219) * LEN($AQ$220)&gt;0),($AQ$219/$AQ$220)*100,HLOOKUP(INDIRECT(ADDRESS(2,COLUMN())),OFFSET($BN$2,0,0,ROW()-1,60),ROW()-1,FALSE))</f>
        <v>4.3973301920000001</v>
      </c>
      <c r="AR20">
        <f ca="1">IF(AND($B$185=1,LEN($AR$219) * LEN($AR$220)&gt;0),($AR$219/$AR$220)*100,HLOOKUP(INDIRECT(ADDRESS(2,COLUMN())),OFFSET($BN$2,0,0,ROW()-1,60),ROW()-1,FALSE))</f>
        <v>4.6311146750000001</v>
      </c>
      <c r="AS20">
        <f ca="1">IF(AND($B$185=1,LEN($AS$219) * LEN($AS$220)&gt;0),($AS$219/$AS$220)*100,HLOOKUP(INDIRECT(ADDRESS(2,COLUMN())),OFFSET($BN$2,0,0,ROW()-1,60),ROW()-1,FALSE))</f>
        <v>4.9464138499999999</v>
      </c>
      <c r="AT20">
        <f ca="1">IF(AND($B$185=1,LEN($AT$219) * LEN($AT$220)&gt;0),($AT$219/$AT$220)*100,HLOOKUP(INDIRECT(ADDRESS(2,COLUMN())),OFFSET($BN$2,0,0,ROW()-1,60),ROW()-1,FALSE))</f>
        <v>4.5952287839999997</v>
      </c>
      <c r="AU20">
        <f ca="1">IF(AND($B$185=1,LEN($AU$219) * LEN($AU$220)&gt;0),($AU$219/$AU$220)*100,HLOOKUP(INDIRECT(ADDRESS(2,COLUMN())),OFFSET($BN$2,0,0,ROW()-1,60),ROW()-1,FALSE))</f>
        <v>5.2695581679999997</v>
      </c>
      <c r="AV20">
        <f ca="1">IF(AND($B$185=1,LEN($AV$219) * LEN($AV$220)&gt;0),($AV$219/$AV$220)*100,HLOOKUP(INDIRECT(ADDRESS(2,COLUMN())),OFFSET($BN$2,0,0,ROW()-1,60),ROW()-1,FALSE))</f>
        <v>5.4159360999999997</v>
      </c>
      <c r="AW20">
        <f ca="1">IF(AND($B$185=1,LEN($AW$219) * LEN($AW$220)&gt;0),($AW$219/$AW$220)*100,HLOOKUP(INDIRECT(ADDRESS(2,COLUMN())),OFFSET($BN$2,0,0,ROW()-1,60),ROW()-1,FALSE))</f>
        <v>4.9600672550000002</v>
      </c>
      <c r="AX20">
        <f ca="1">IF(AND($B$185=1,LEN($AX$219) * LEN($AX$220)&gt;0),($AX$219/$AX$220)*100,HLOOKUP(INDIRECT(ADDRESS(2,COLUMN())),OFFSET($BN$2,0,0,ROW()-1,60),ROW()-1,FALSE))</f>
        <v>4.7796399750000003</v>
      </c>
      <c r="AY20">
        <f ca="1">IF(AND($B$185=1,LEN($AY$219) * LEN($AY$220)&gt;0),($AY$219/$AY$220)*100,HLOOKUP(INDIRECT(ADDRESS(2,COLUMN())),OFFSET($BN$2,0,0,ROW()-1,60),ROW()-1,FALSE))</f>
        <v>6.7838676319999998</v>
      </c>
      <c r="AZ20">
        <f ca="1">IF(AND($B$185=1,LEN($AZ$219) * LEN($AZ$220)&gt;0),($AZ$219/$AZ$220)*100,HLOOKUP(INDIRECT(ADDRESS(2,COLUMN())),OFFSET($BN$2,0,0,ROW()-1,60),ROW()-1,FALSE))</f>
        <v>8.0948487329999992</v>
      </c>
      <c r="BA20">
        <f ca="1">IF(AND($B$185=1,LEN($BA$219) * LEN($BA$220)&gt;0),($BA$219/$BA$220)*100,HLOOKUP(INDIRECT(ADDRESS(2,COLUMN())),OFFSET($BN$2,0,0,ROW()-1,60),ROW()-1,FALSE))</f>
        <v>8.3229555830000006</v>
      </c>
      <c r="BB20">
        <f ca="1">IF(AND($B$185=1,LEN($BB$219) * LEN($BB$220)&gt;0),($BB$219/$BB$220)*100,HLOOKUP(INDIRECT(ADDRESS(2,COLUMN())),OFFSET($BN$2,0,0,ROW()-1,60),ROW()-1,FALSE))</f>
        <v>9.4145569620000007</v>
      </c>
      <c r="BC20">
        <f ca="1">IF(AND($B$185=1,LEN($BC$219) * LEN($BC$220)&gt;0),($BC$219/$BC$220)*100,HLOOKUP(INDIRECT(ADDRESS(2,COLUMN())),OFFSET($BN$2,0,0,ROW()-1,60),ROW()-1,FALSE))</f>
        <v>10.132760640000001</v>
      </c>
      <c r="BD20">
        <f ca="1">IF(AND($B$185=1,LEN($BD$219) * LEN($BD$220)&gt;0),($BD$219/$BD$220)*100,HLOOKUP(INDIRECT(ADDRESS(2,COLUMN())),OFFSET($BN$2,0,0,ROW()-1,60),ROW()-1,FALSE))</f>
        <v>9.7745860760000003</v>
      </c>
      <c r="BE20">
        <f ca="1">IF(AND($B$185=1,LEN($BE$219) * LEN($BE$220)&gt;0),($BE$219/$BE$220)*100,HLOOKUP(INDIRECT(ADDRESS(2,COLUMN())),OFFSET($BN$2,0,0,ROW()-1,60),ROW()-1,FALSE))</f>
        <v>9.2756002459999998</v>
      </c>
      <c r="BF20">
        <f ca="1">IF(AND($B$185=1,LEN($BF$219) * LEN($BF$220)&gt;0),($BF$219/$BF$220)*100,HLOOKUP(INDIRECT(ADDRESS(2,COLUMN())),OFFSET($BN$2,0,0,ROW()-1,60),ROW()-1,FALSE))</f>
        <v>6.0023771789999998</v>
      </c>
      <c r="BG20">
        <f ca="1">IF(AND($B$185=1,LEN($BG$219) * LEN($BG$220)&gt;0),($BG$219/$BG$220)*100,HLOOKUP(INDIRECT(ADDRESS(2,COLUMN())),OFFSET($BN$2,0,0,ROW()-1,60),ROW()-1,FALSE))</f>
        <v>5.1720498209999999</v>
      </c>
      <c r="BH20">
        <f ca="1">IF(AND($B$185=1,LEN($BH$219) * LEN($BH$220)&gt;0),($BH$219/$BH$220)*100,HLOOKUP(INDIRECT(ADDRESS(2,COLUMN())),OFFSET($BN$2,0,0,ROW()-1,60),ROW()-1,FALSE))</f>
        <v>5.1575312899999997</v>
      </c>
      <c r="BI20">
        <f ca="1">IF(AND($B$185=1,LEN($BI$219) * LEN($BI$220)&gt;0),($BI$219/$BI$220)*100,HLOOKUP(INDIRECT(ADDRESS(2,COLUMN())),OFFSET($BN$2,0,0,ROW()-1,60),ROW()-1,FALSE))</f>
        <v>4.4578853049999996</v>
      </c>
      <c r="BJ20">
        <f ca="1">IF(AND($B$185=1,LEN($BJ$219) * LEN($BJ$220)&gt;0),($BJ$219/$BJ$220)*100,HLOOKUP(INDIRECT(ADDRESS(2,COLUMN())),OFFSET($BN$2,0,0,ROW()-1,60),ROW()-1,FALSE))</f>
        <v>5.3556126820000003</v>
      </c>
      <c r="BK20">
        <f ca="1">IF(AND($B$185=1,LEN($BK$219) * LEN($BK$220)&gt;0),($BK$219/$BK$220)*100,HLOOKUP(INDIRECT(ADDRESS(2,COLUMN())),OFFSET($BN$2,0,0,ROW()-1,60),ROW()-1,FALSE))</f>
        <v>6.837229819</v>
      </c>
      <c r="BL20">
        <f ca="1">IF(AND($B$185=1,LEN($BL$219) * LEN($BL$220)&gt;0),($BL$219/$BL$220)*100,HLOOKUP(INDIRECT(ADDRESS(2,COLUMN())),OFFSET($BN$2,0,0,ROW()-1,60),ROW()-1,FALSE))</f>
        <v>5.4398925450000002</v>
      </c>
      <c r="BM20" t="str">
        <f ca="1">IF(AND($B$185=1,LEN($BM$219) * LEN($BM$220)&gt;0),($BM$219/$BM$220)*100,HLOOKUP(INDIRECT(ADDRESS(2,COLUMN())),OFFSET($BN$2,0,0,ROW()-1,60),ROW()-1,FALSE))</f>
        <v/>
      </c>
      <c r="BN20">
        <f>1.662129245</f>
        <v>1.662129245</v>
      </c>
      <c r="BO20">
        <f>2.268403337</f>
        <v>2.2684033370000001</v>
      </c>
      <c r="BP20">
        <f>2.778590231</f>
        <v>2.7785902309999999</v>
      </c>
      <c r="BQ20">
        <f>2.483171279</f>
        <v>2.483171279</v>
      </c>
      <c r="BR20">
        <f>2.035358788</f>
        <v>2.0353587879999999</v>
      </c>
      <c r="BS20">
        <f>2.057142857</f>
        <v>2.0571428570000001</v>
      </c>
      <c r="BT20">
        <f>1.834476964</f>
        <v>1.834476964</v>
      </c>
      <c r="BU20">
        <f>1.792466041</f>
        <v>1.792466041</v>
      </c>
      <c r="BV20">
        <f>1.641414141</f>
        <v>1.641414141</v>
      </c>
      <c r="BW20">
        <f>1.286531131</f>
        <v>1.286531131</v>
      </c>
      <c r="BX20">
        <f>2.373391275</f>
        <v>2.3733912749999999</v>
      </c>
      <c r="BY20">
        <f>3.591309032</f>
        <v>3.5913090319999998</v>
      </c>
      <c r="BZ20">
        <f>5.267809793</f>
        <v>5.2678097929999996</v>
      </c>
      <c r="CA20">
        <f>7.128240109</f>
        <v>7.128240109</v>
      </c>
      <c r="CB20">
        <f>6.011118833</f>
        <v>6.0111188330000003</v>
      </c>
      <c r="CC20">
        <f>5.492285084</f>
        <v>5.4922850839999997</v>
      </c>
      <c r="CD20">
        <f>8.174672489</f>
        <v>8.1746724890000007</v>
      </c>
      <c r="CE20">
        <f>9.311331874</f>
        <v>9.3113318740000004</v>
      </c>
      <c r="CF20">
        <f>11.14551084</f>
        <v>11.14551084</v>
      </c>
      <c r="CG20">
        <f>6.871955463</f>
        <v>6.8719554629999999</v>
      </c>
      <c r="CH20">
        <f>4.323941166</f>
        <v>4.323941166</v>
      </c>
      <c r="CI20">
        <f>4.614079729</f>
        <v>4.6140797290000002</v>
      </c>
      <c r="CJ20">
        <f>3.261432269</f>
        <v>3.2614322690000002</v>
      </c>
      <c r="CK20">
        <f>3.045045045</f>
        <v>3.0450450450000002</v>
      </c>
      <c r="CL20">
        <f>2.947767626</f>
        <v>2.9477676260000001</v>
      </c>
      <c r="CM20">
        <f>3.069324396</f>
        <v>3.0693243959999998</v>
      </c>
      <c r="CN20">
        <f>3.404027803</f>
        <v>3.404027803</v>
      </c>
      <c r="CO20">
        <f>3.382352941</f>
        <v>3.3823529410000002</v>
      </c>
      <c r="CP20">
        <f>3.642921551</f>
        <v>3.6429215510000001</v>
      </c>
      <c r="CQ20">
        <f>3.861493836</f>
        <v>3.8614938360000002</v>
      </c>
      <c r="CR20">
        <f>3.928108208</f>
        <v>3.9281082079999998</v>
      </c>
      <c r="CS20">
        <f>3.951135713</f>
        <v>3.9511357130000002</v>
      </c>
      <c r="CT20">
        <f>4.455997029</f>
        <v>4.4559970289999997</v>
      </c>
      <c r="CU20">
        <f>5.882352941</f>
        <v>5.8823529409999997</v>
      </c>
      <c r="CV20">
        <f>4.409857328</f>
        <v>4.4098573280000002</v>
      </c>
      <c r="CW20">
        <f>3.752006421</f>
        <v>3.7520064209999999</v>
      </c>
      <c r="CX20">
        <f>4.089939911</f>
        <v>4.0899399110000001</v>
      </c>
      <c r="CY20">
        <f>4.397330192</f>
        <v>4.3973301920000001</v>
      </c>
      <c r="CZ20">
        <f>4.631114675</f>
        <v>4.6311146750000001</v>
      </c>
      <c r="DA20">
        <f>4.94641385</f>
        <v>4.9464138499999999</v>
      </c>
      <c r="DB20">
        <f>4.595228784</f>
        <v>4.5952287839999997</v>
      </c>
      <c r="DC20">
        <f>5.269558168</f>
        <v>5.2695581679999997</v>
      </c>
      <c r="DD20">
        <f>5.4159361</f>
        <v>5.4159360999999997</v>
      </c>
      <c r="DE20">
        <f>4.960067255</f>
        <v>4.9600672550000002</v>
      </c>
      <c r="DF20">
        <f>4.779639975</f>
        <v>4.7796399750000003</v>
      </c>
      <c r="DG20">
        <f>6.783867632</f>
        <v>6.7838676319999998</v>
      </c>
      <c r="DH20">
        <f>8.094848733</f>
        <v>8.0948487329999992</v>
      </c>
      <c r="DI20">
        <f>8.322955583</f>
        <v>8.3229555830000006</v>
      </c>
      <c r="DJ20">
        <f>9.414556962</f>
        <v>9.4145569620000007</v>
      </c>
      <c r="DK20">
        <f>10.13276064</f>
        <v>10.132760640000001</v>
      </c>
      <c r="DL20">
        <f>9.774586076</f>
        <v>9.7745860760000003</v>
      </c>
      <c r="DM20">
        <f>9.275600246</f>
        <v>9.2756002459999998</v>
      </c>
      <c r="DN20">
        <f>6.002377179</f>
        <v>6.0023771789999998</v>
      </c>
      <c r="DO20">
        <f>5.172049821</f>
        <v>5.1720498209999999</v>
      </c>
      <c r="DP20">
        <f>5.15753129</f>
        <v>5.1575312899999997</v>
      </c>
      <c r="DQ20">
        <f>4.457885305</f>
        <v>4.4578853049999996</v>
      </c>
      <c r="DR20">
        <f>5.355612682</f>
        <v>5.3556126820000003</v>
      </c>
      <c r="DS20">
        <f>6.837229819</f>
        <v>6.837229819</v>
      </c>
      <c r="DT20">
        <f>5.439892545</f>
        <v>5.4398925450000002</v>
      </c>
      <c r="DU20" t="str">
        <f>""</f>
        <v/>
      </c>
    </row>
    <row r="21" spans="1:125">
      <c r="A21" t="str">
        <f>"    Wells Fargo &amp; Co"</f>
        <v xml:space="preserve">    Wells Fargo &amp; Co</v>
      </c>
      <c r="B21" t="str">
        <f>"WFC US Equity"</f>
        <v>WFC US Equity</v>
      </c>
      <c r="E21" t="str">
        <f t="shared" si="0"/>
        <v>Expression</v>
      </c>
      <c r="F21" t="e">
        <f ca="1">IF(AND($B$185=1,LEN($F$221) * LEN($F$222)&gt;0),($F$221/$F$222)*100,HLOOKUP(INDIRECT(ADDRESS(2,COLUMN())),OFFSET($BN$2,0,0,ROW()-1,60),ROW()-1,FALSE))</f>
        <v>#NAME?</v>
      </c>
      <c r="G21">
        <f ca="1">IF(AND($B$185=1,LEN($G$221) * LEN($G$222)&gt;0),($G$221/$G$222)*100,HLOOKUP(INDIRECT(ADDRESS(2,COLUMN())),OFFSET($BN$2,0,0,ROW()-1,60),ROW()-1,FALSE))</f>
        <v>1.37484042</v>
      </c>
      <c r="H21">
        <f ca="1">IF(AND($B$185=1,LEN($H$221) * LEN($H$222)&gt;0),($H$221/$H$222)*100,HLOOKUP(INDIRECT(ADDRESS(2,COLUMN())),OFFSET($BN$2,0,0,ROW()-1,60),ROW()-1,FALSE))</f>
        <v>1.174537194</v>
      </c>
      <c r="I21">
        <f ca="1">IF(AND($B$185=1,LEN($I$221) * LEN($I$222)&gt;0),($I$221/$I$222)*100,HLOOKUP(INDIRECT(ADDRESS(2,COLUMN())),OFFSET($BN$2,0,0,ROW()-1,60),ROW()-1,FALSE))</f>
        <v>1.102430139</v>
      </c>
      <c r="J21">
        <f ca="1">IF(AND($B$185=1,LEN($J$221) * LEN($J$222)&gt;0),($J$221/$J$222)*100,HLOOKUP(INDIRECT(ADDRESS(2,COLUMN())),OFFSET($BN$2,0,0,ROW()-1,60),ROW()-1,FALSE))</f>
        <v>0.98642445599999995</v>
      </c>
      <c r="K21">
        <f ca="1">IF(AND($B$185=1,LEN($K$221) * LEN($K$222)&gt;0),($K$221/$K$222)*100,HLOOKUP(INDIRECT(ADDRESS(2,COLUMN())),OFFSET($BN$2,0,0,ROW()-1,60),ROW()-1,FALSE))</f>
        <v>0.92534880399999997</v>
      </c>
      <c r="L21">
        <f ca="1">IF(AND($B$185=1,LEN($L$221) * LEN($L$222)&gt;0),($L$221/$L$222)*100,HLOOKUP(INDIRECT(ADDRESS(2,COLUMN())),OFFSET($BN$2,0,0,ROW()-1,60),ROW()-1,FALSE))</f>
        <v>0.98378220400000005</v>
      </c>
      <c r="M21">
        <f ca="1">IF(AND($B$185=1,LEN($M$221) * LEN($M$222)&gt;0),($M$221/$M$222)*100,HLOOKUP(INDIRECT(ADDRESS(2,COLUMN())),OFFSET($BN$2,0,0,ROW()-1,60),ROW()-1,FALSE))</f>
        <v>1.119204979</v>
      </c>
      <c r="N21">
        <f ca="1">IF(AND($B$185=1,LEN($N$221) * LEN($N$222)&gt;0),($N$221/$N$222)*100,HLOOKUP(INDIRECT(ADDRESS(2,COLUMN())),OFFSET($BN$2,0,0,ROW()-1,60),ROW()-1,FALSE))</f>
        <v>0.39432963999999998</v>
      </c>
      <c r="O21">
        <f ca="1">IF(AND($B$185=1,LEN($O$221) * LEN($O$222)&gt;0),($O$221/$O$222)*100,HLOOKUP(INDIRECT(ADDRESS(2,COLUMN())),OFFSET($BN$2,0,0,ROW()-1,60),ROW()-1,FALSE))</f>
        <v>1.6559337629999999</v>
      </c>
      <c r="P21">
        <f ca="1">IF(AND($B$185=1,LEN($P$221) * LEN($P$222)&gt;0),($P$221/$P$222)*100,HLOOKUP(INDIRECT(ADDRESS(2,COLUMN())),OFFSET($BN$2,0,0,ROW()-1,60),ROW()-1,FALSE))</f>
        <v>1.6842722999999999</v>
      </c>
      <c r="Q21">
        <f ca="1">IF(AND($B$185=1,LEN($Q$221) * LEN($Q$222)&gt;0),($Q$221/$Q$222)*100,HLOOKUP(INDIRECT(ADDRESS(2,COLUMN())),OFFSET($BN$2,0,0,ROW()-1,60),ROW()-1,FALSE))</f>
        <v>3.9090703969999998</v>
      </c>
      <c r="R21">
        <f ca="1">IF(AND($B$185=1,LEN($R$221) * LEN($R$222)&gt;0),($R$221/$R$222)*100,HLOOKUP(INDIRECT(ADDRESS(2,COLUMN())),OFFSET($BN$2,0,0,ROW()-1,60),ROW()-1,FALSE))</f>
        <v>4.9626006900000004</v>
      </c>
      <c r="S21">
        <f ca="1">IF(AND($B$185=1,LEN($S$221) * LEN($S$222)&gt;0),($S$221/$S$222)*100,HLOOKUP(INDIRECT(ADDRESS(2,COLUMN())),OFFSET($BN$2,0,0,ROW()-1,60),ROW()-1,FALSE))</f>
        <v>6.684719125</v>
      </c>
      <c r="T21">
        <f ca="1">IF(AND($B$185=1,LEN($T$221) * LEN($T$222)&gt;0),($T$221/$T$222)*100,HLOOKUP(INDIRECT(ADDRESS(2,COLUMN())),OFFSET($BN$2,0,0,ROW()-1,60),ROW()-1,FALSE))</f>
        <v>6.5910212140000004</v>
      </c>
      <c r="U21">
        <f ca="1">IF(AND($B$185=1,LEN($U$221) * LEN($U$222)&gt;0),($U$221/$U$222)*100,HLOOKUP(INDIRECT(ADDRESS(2,COLUMN())),OFFSET($BN$2,0,0,ROW()-1,60),ROW()-1,FALSE))</f>
        <v>7.1551910210000003</v>
      </c>
      <c r="V21">
        <f ca="1">IF(AND($B$185=1,LEN($V$221) * LEN($V$222)&gt;0),($V$221/$V$222)*100,HLOOKUP(INDIRECT(ADDRESS(2,COLUMN())),OFFSET($BN$2,0,0,ROW()-1,60),ROW()-1,FALSE))</f>
        <v>6.5282059600000002</v>
      </c>
      <c r="W21">
        <f ca="1">IF(AND($B$185=1,LEN($W$221) * LEN($W$222)&gt;0),($W$221/$W$222)*100,HLOOKUP(INDIRECT(ADDRESS(2,COLUMN())),OFFSET($BN$2,0,0,ROW()-1,60),ROW()-1,FALSE))</f>
        <v>8.2315179129999994</v>
      </c>
      <c r="X21">
        <f ca="1">IF(AND($B$185=1,LEN($X$221) * LEN($X$222)&gt;0),($X$221/$X$222)*100,HLOOKUP(INDIRECT(ADDRESS(2,COLUMN())),OFFSET($BN$2,0,0,ROW()-1,60),ROW()-1,FALSE))</f>
        <v>1.733566663</v>
      </c>
      <c r="Y21">
        <f ca="1">IF(AND($B$185=1,LEN($Y$221) * LEN($Y$222)&gt;0),($Y$221/$Y$222)*100,HLOOKUP(INDIRECT(ADDRESS(2,COLUMN())),OFFSET($BN$2,0,0,ROW()-1,60),ROW()-1,FALSE))</f>
        <v>2.13918835</v>
      </c>
      <c r="Z21">
        <f ca="1">IF(AND($B$185=1,LEN($Z$221) * LEN($Z$222)&gt;0),($Z$221/$Z$222)*100,HLOOKUP(INDIRECT(ADDRESS(2,COLUMN())),OFFSET($BN$2,0,0,ROW()-1,60),ROW()-1,FALSE))</f>
        <v>3.9425981870000002</v>
      </c>
      <c r="AA21">
        <f ca="1">IF(AND($B$185=1,LEN($AA$221) * LEN($AA$222)&gt;0),($AA$221/$AA$222)*100,HLOOKUP(INDIRECT(ADDRESS(2,COLUMN())),OFFSET($BN$2,0,0,ROW()-1,60),ROW()-1,FALSE))</f>
        <v>2.117219446</v>
      </c>
      <c r="AB21">
        <f ca="1">IF(AND($B$185=1,LEN($AB$221) * LEN($AB$222)&gt;0),($AB$221/$AB$222)*100,HLOOKUP(INDIRECT(ADDRESS(2,COLUMN())),OFFSET($BN$2,0,0,ROW()-1,60),ROW()-1,FALSE))</f>
        <v>3.5118606379999999</v>
      </c>
      <c r="AC21">
        <f ca="1">IF(AND($B$185=1,LEN($AC$221) * LEN($AC$222)&gt;0),($AC$221/$AC$222)*100,HLOOKUP(INDIRECT(ADDRESS(2,COLUMN())),OFFSET($BN$2,0,0,ROW()-1,60),ROW()-1,FALSE))</f>
        <v>3.2764126060000001</v>
      </c>
      <c r="AD21">
        <f ca="1">IF(AND($B$185=1,LEN($AD$221) * LEN($AD$222)&gt;0),($AD$221/$AD$222)*100,HLOOKUP(INDIRECT(ADDRESS(2,COLUMN())),OFFSET($BN$2,0,0,ROW()-1,60),ROW()-1,FALSE))</f>
        <v>2.2259294569999999</v>
      </c>
      <c r="AE21">
        <f ca="1">IF(AND($B$185=1,LEN($AE$221) * LEN($AE$222)&gt;0),($AE$221/$AE$222)*100,HLOOKUP(INDIRECT(ADDRESS(2,COLUMN())),OFFSET($BN$2,0,0,ROW()-1,60),ROW()-1,FALSE))</f>
        <v>3.8557950870000002</v>
      </c>
      <c r="AF21">
        <f ca="1">IF(AND($B$185=1,LEN($AF$221) * LEN($AF$222)&gt;0),($AF$221/$AF$222)*100,HLOOKUP(INDIRECT(ADDRESS(2,COLUMN())),OFFSET($BN$2,0,0,ROW()-1,60),ROW()-1,FALSE))</f>
        <v>3.572588503</v>
      </c>
      <c r="AG21">
        <f ca="1">IF(AND($B$185=1,LEN($AG$221) * LEN($AG$222)&gt;0),($AG$221/$AG$222)*100,HLOOKUP(INDIRECT(ADDRESS(2,COLUMN())),OFFSET($BN$2,0,0,ROW()-1,60),ROW()-1,FALSE))</f>
        <v>4.2582292329999998</v>
      </c>
      <c r="AH21">
        <f ca="1">IF(AND($B$185=1,LEN($AH$221) * LEN($AH$222)&gt;0),($AH$221/$AH$222)*100,HLOOKUP(INDIRECT(ADDRESS(2,COLUMN())),OFFSET($BN$2,0,0,ROW()-1,60),ROW()-1,FALSE))</f>
        <v>4.2086167799999998</v>
      </c>
      <c r="AI21">
        <f ca="1">IF(AND($B$185=1,LEN($AI$221) * LEN($AI$222)&gt;0),($AI$221/$AI$222)*100,HLOOKUP(INDIRECT(ADDRESS(2,COLUMN())),OFFSET($BN$2,0,0,ROW()-1,60),ROW()-1,FALSE))</f>
        <v>4.7874044580000001</v>
      </c>
      <c r="AJ21">
        <f ca="1">IF(AND($B$185=1,LEN($AJ$221) * LEN($AJ$222)&gt;0),($AJ$221/$AJ$222)*100,HLOOKUP(INDIRECT(ADDRESS(2,COLUMN())),OFFSET($BN$2,0,0,ROW()-1,60),ROW()-1,FALSE))</f>
        <v>5.1630312570000001</v>
      </c>
      <c r="AK21">
        <f ca="1">IF(AND($B$185=1,LEN($AK$221) * LEN($AK$222)&gt;0),($AK$221/$AK$222)*100,HLOOKUP(INDIRECT(ADDRESS(2,COLUMN())),OFFSET($BN$2,0,0,ROW()-1,60),ROW()-1,FALSE))</f>
        <v>5.5178611550000003</v>
      </c>
      <c r="AL21">
        <f ca="1">IF(AND($B$185=1,LEN($AL$221) * LEN($AL$222)&gt;0),($AL$221/$AL$222)*100,HLOOKUP(INDIRECT(ADDRESS(2,COLUMN())),OFFSET($BN$2,0,0,ROW()-1,60),ROW()-1,FALSE))</f>
        <v>6.5656565660000004</v>
      </c>
      <c r="AM21">
        <f ca="1">IF(AND($B$185=1,LEN($AM$221) * LEN($AM$222)&gt;0),($AM$221/$AM$222)*100,HLOOKUP(INDIRECT(ADDRESS(2,COLUMN())),OFFSET($BN$2,0,0,ROW()-1,60),ROW()-1,FALSE))</f>
        <v>7.4659620210000002</v>
      </c>
      <c r="AN21">
        <f ca="1">IF(AND($B$185=1,LEN($AN$221) * LEN($AN$222)&gt;0),($AN$221/$AN$222)*100,HLOOKUP(INDIRECT(ADDRESS(2,COLUMN())),OFFSET($BN$2,0,0,ROW()-1,60),ROW()-1,FALSE))</f>
        <v>6.3802905870000002</v>
      </c>
      <c r="AO21">
        <f ca="1">IF(AND($B$185=1,LEN($AO$221) * LEN($AO$222)&gt;0),($AO$221/$AO$222)*100,HLOOKUP(INDIRECT(ADDRESS(2,COLUMN())),OFFSET($BN$2,0,0,ROW()-1,60),ROW()-1,FALSE))</f>
        <v>7.1998197790000003</v>
      </c>
      <c r="AP21">
        <f ca="1">IF(AND($B$185=1,LEN($AP$221) * LEN($AP$222)&gt;0),($AP$221/$AP$222)*100,HLOOKUP(INDIRECT(ADDRESS(2,COLUMN())),OFFSET($BN$2,0,0,ROW()-1,60),ROW()-1,FALSE))</f>
        <v>7.6901695539999997</v>
      </c>
      <c r="AQ21">
        <f ca="1">IF(AND($B$185=1,LEN($AQ$221) * LEN($AQ$222)&gt;0),($AQ$221/$AQ$222)*100,HLOOKUP(INDIRECT(ADDRESS(2,COLUMN())),OFFSET($BN$2,0,0,ROW()-1,60),ROW()-1,FALSE))</f>
        <v>7.2640000000000002</v>
      </c>
      <c r="AR21">
        <f ca="1">IF(AND($B$185=1,LEN($AR$221) * LEN($AR$222)&gt;0),($AR$221/$AR$222)*100,HLOOKUP(INDIRECT(ADDRESS(2,COLUMN())),OFFSET($BN$2,0,0,ROW()-1,60),ROW()-1,FALSE))</f>
        <v>7.9979360169999998</v>
      </c>
      <c r="AS21">
        <f ca="1">IF(AND($B$185=1,LEN($AS$221) * LEN($AS$222)&gt;0),($AS$221/$AS$222)*100,HLOOKUP(INDIRECT(ADDRESS(2,COLUMN())),OFFSET($BN$2,0,0,ROW()-1,60),ROW()-1,FALSE))</f>
        <v>7.2704201519999998</v>
      </c>
      <c r="AT21">
        <f ca="1">IF(AND($B$185=1,LEN($AT$221) * LEN($AT$222)&gt;0),($AT$221/$AT$222)*100,HLOOKUP(INDIRECT(ADDRESS(2,COLUMN())),OFFSET($BN$2,0,0,ROW()-1,60),ROW()-1,FALSE))</f>
        <v>7.0652427370000002</v>
      </c>
      <c r="AU21">
        <f ca="1">IF(AND($B$185=1,LEN($AU$221) * LEN($AU$222)&gt;0),($AU$221/$AU$222)*100,HLOOKUP(INDIRECT(ADDRESS(2,COLUMN())),OFFSET($BN$2,0,0,ROW()-1,60),ROW()-1,FALSE))</f>
        <v>7.6981096500000001</v>
      </c>
      <c r="AV21">
        <f ca="1">IF(AND($B$185=1,LEN($AV$221) * LEN($AV$222)&gt;0),($AV$221/$AV$222)*100,HLOOKUP(INDIRECT(ADDRESS(2,COLUMN())),OFFSET($BN$2,0,0,ROW()-1,60),ROW()-1,FALSE))</f>
        <v>8.1790562990000009</v>
      </c>
      <c r="AW21">
        <f ca="1">IF(AND($B$185=1,LEN($AW$221) * LEN($AW$222)&gt;0),($AW$221/$AW$222)*100,HLOOKUP(INDIRECT(ADDRESS(2,COLUMN())),OFFSET($BN$2,0,0,ROW()-1,60),ROW()-1,FALSE))</f>
        <v>7.3212121210000003</v>
      </c>
      <c r="AX21">
        <f ca="1">IF(AND($B$185=1,LEN($AX$221) * LEN($AX$222)&gt;0),($AX$221/$AX$222)*100,HLOOKUP(INDIRECT(ADDRESS(2,COLUMN())),OFFSET($BN$2,0,0,ROW()-1,60),ROW()-1,FALSE))</f>
        <v>7.5973868859999998</v>
      </c>
      <c r="AY21">
        <f ca="1">IF(AND($B$185=1,LEN($AY$221) * LEN($AY$222)&gt;0),($AY$221/$AY$222)*100,HLOOKUP(INDIRECT(ADDRESS(2,COLUMN())),OFFSET($BN$2,0,0,ROW()-1,60),ROW()-1,FALSE))</f>
        <v>7.8523293289999998</v>
      </c>
      <c r="AZ21">
        <f ca="1">IF(AND($B$185=1,LEN($AZ$221) * LEN($AZ$222)&gt;0),($AZ$221/$AZ$222)*100,HLOOKUP(INDIRECT(ADDRESS(2,COLUMN())),OFFSET($BN$2,0,0,ROW()-1,60),ROW()-1,FALSE))</f>
        <v>13.10693236</v>
      </c>
      <c r="BA21">
        <f ca="1">IF(AND($B$185=1,LEN($BA$221) * LEN($BA$222)&gt;0),($BA$221/$BA$222)*100,HLOOKUP(INDIRECT(ADDRESS(2,COLUMN())),OFFSET($BN$2,0,0,ROW()-1,60),ROW()-1,FALSE))</f>
        <v>13.142668990000001</v>
      </c>
      <c r="BB21">
        <f ca="1">IF(AND($B$185=1,LEN($BB$221) * LEN($BB$222)&gt;0),($BB$221/$BB$222)*100,HLOOKUP(INDIRECT(ADDRESS(2,COLUMN())),OFFSET($BN$2,0,0,ROW()-1,60),ROW()-1,FALSE))</f>
        <v>13.978494619999999</v>
      </c>
      <c r="BC21">
        <f ca="1">IF(AND($B$185=1,LEN($BC$221) * LEN($BC$222)&gt;0),($BC$221/$BC$222)*100,HLOOKUP(INDIRECT(ADDRESS(2,COLUMN())),OFFSET($BN$2,0,0,ROW()-1,60),ROW()-1,FALSE))</f>
        <v>13.2324518</v>
      </c>
      <c r="BD21">
        <f ca="1">IF(AND($B$185=1,LEN($BD$221) * LEN($BD$222)&gt;0),($BD$221/$BD$222)*100,HLOOKUP(INDIRECT(ADDRESS(2,COLUMN())),OFFSET($BN$2,0,0,ROW()-1,60),ROW()-1,FALSE))</f>
        <v>13.589177510000001</v>
      </c>
      <c r="BE21">
        <f ca="1">IF(AND($B$185=1,LEN($BE$221) * LEN($BE$222)&gt;0),($BE$221/$BE$222)*100,HLOOKUP(INDIRECT(ADDRESS(2,COLUMN())),OFFSET($BN$2,0,0,ROW()-1,60),ROW()-1,FALSE))</f>
        <v>13.26492882</v>
      </c>
      <c r="BF21">
        <f ca="1">IF(AND($B$185=1,LEN($BF$221) * LEN($BF$222)&gt;0),($BF$221/$BF$222)*100,HLOOKUP(INDIRECT(ADDRESS(2,COLUMN())),OFFSET($BN$2,0,0,ROW()-1,60),ROW()-1,FALSE))</f>
        <v>11.47294346</v>
      </c>
      <c r="BG21">
        <f ca="1">IF(AND($B$185=1,LEN($BG$221) * LEN($BG$222)&gt;0),($BG$221/$BG$222)*100,HLOOKUP(INDIRECT(ADDRESS(2,COLUMN())),OFFSET($BN$2,0,0,ROW()-1,60),ROW()-1,FALSE))</f>
        <v>9.3386998170000002</v>
      </c>
      <c r="BH21">
        <f ca="1">IF(AND($B$185=1,LEN($BH$221) * LEN($BH$222)&gt;0),($BH$221/$BH$222)*100,HLOOKUP(INDIRECT(ADDRESS(2,COLUMN())),OFFSET($BN$2,0,0,ROW()-1,60),ROW()-1,FALSE))</f>
        <v>7.9417247130000002</v>
      </c>
      <c r="BI21">
        <f ca="1">IF(AND($B$185=1,LEN($BI$221) * LEN($BI$222)&gt;0),($BI$221/$BI$222)*100,HLOOKUP(INDIRECT(ADDRESS(2,COLUMN())),OFFSET($BN$2,0,0,ROW()-1,60),ROW()-1,FALSE))</f>
        <v>9.9168675289999992</v>
      </c>
      <c r="BJ21">
        <f ca="1">IF(AND($B$185=1,LEN($BJ$221) * LEN($BJ$222)&gt;0),($BJ$221/$BJ$222)*100,HLOOKUP(INDIRECT(ADDRESS(2,COLUMN())),OFFSET($BN$2,0,0,ROW()-1,60),ROW()-1,FALSE))</f>
        <v>12.8268354</v>
      </c>
      <c r="BK21">
        <f ca="1">IF(AND($B$185=1,LEN($BK$221) * LEN($BK$222)&gt;0),($BK$221/$BK$222)*100,HLOOKUP(INDIRECT(ADDRESS(2,COLUMN())),OFFSET($BN$2,0,0,ROW()-1,60),ROW()-1,FALSE))</f>
        <v>11.971830990000001</v>
      </c>
      <c r="BL21">
        <f ca="1">IF(AND($B$185=1,LEN($BL$221) * LEN($BL$222)&gt;0),($BL$221/$BL$222)*100,HLOOKUP(INDIRECT(ADDRESS(2,COLUMN())),OFFSET($BN$2,0,0,ROW()-1,60),ROW()-1,FALSE))</f>
        <v>9.3998317290000006</v>
      </c>
      <c r="BM21" t="str">
        <f ca="1">IF(AND($B$185=1,LEN($BM$221) * LEN($BM$222)&gt;0),($BM$221/$BM$222)*100,HLOOKUP(INDIRECT(ADDRESS(2,COLUMN())),OFFSET($BN$2,0,0,ROW()-1,60),ROW()-1,FALSE))</f>
        <v/>
      </c>
      <c r="BN21">
        <f>1.442732358</f>
        <v>1.442732358</v>
      </c>
      <c r="BO21">
        <f>1.37484042</f>
        <v>1.37484042</v>
      </c>
      <c r="BP21">
        <f>1.174537194</f>
        <v>1.174537194</v>
      </c>
      <c r="BQ21">
        <f>1.102430139</f>
        <v>1.102430139</v>
      </c>
      <c r="BR21">
        <f>0.986424456</f>
        <v>0.98642445599999995</v>
      </c>
      <c r="BS21">
        <f>0.925348804</f>
        <v>0.92534880399999997</v>
      </c>
      <c r="BT21">
        <f>0.983782204</f>
        <v>0.98378220400000005</v>
      </c>
      <c r="BU21">
        <f>1.119204979</f>
        <v>1.119204979</v>
      </c>
      <c r="BV21">
        <f>0.39432964</f>
        <v>0.39432963999999998</v>
      </c>
      <c r="BW21">
        <f>1.655933763</f>
        <v>1.6559337629999999</v>
      </c>
      <c r="BX21">
        <f>1.6842723</f>
        <v>1.6842722999999999</v>
      </c>
      <c r="BY21">
        <f>3.909070397</f>
        <v>3.9090703969999998</v>
      </c>
      <c r="BZ21">
        <f>4.96260069</f>
        <v>4.9626006900000004</v>
      </c>
      <c r="CA21">
        <f>6.684719125</f>
        <v>6.684719125</v>
      </c>
      <c r="CB21">
        <f>6.591021214</f>
        <v>6.5910212140000004</v>
      </c>
      <c r="CC21">
        <f>7.155191021</f>
        <v>7.1551910210000003</v>
      </c>
      <c r="CD21">
        <f>6.52820596</f>
        <v>6.5282059600000002</v>
      </c>
      <c r="CE21">
        <f>8.231517913</f>
        <v>8.2315179129999994</v>
      </c>
      <c r="CF21">
        <f>1.733566663</f>
        <v>1.733566663</v>
      </c>
      <c r="CG21">
        <f>2.13918835</f>
        <v>2.13918835</v>
      </c>
      <c r="CH21">
        <f>3.942598187</f>
        <v>3.9425981870000002</v>
      </c>
      <c r="CI21">
        <f>2.117219446</f>
        <v>2.117219446</v>
      </c>
      <c r="CJ21">
        <f>3.511860638</f>
        <v>3.5118606379999999</v>
      </c>
      <c r="CK21">
        <f>3.276412606</f>
        <v>3.2764126060000001</v>
      </c>
      <c r="CL21">
        <f>2.225929457</f>
        <v>2.2259294569999999</v>
      </c>
      <c r="CM21">
        <f>3.855795087</f>
        <v>3.8557950870000002</v>
      </c>
      <c r="CN21">
        <f>3.572588503</f>
        <v>3.572588503</v>
      </c>
      <c r="CO21">
        <f>4.258229233</f>
        <v>4.2582292329999998</v>
      </c>
      <c r="CP21">
        <f>4.20861678</f>
        <v>4.2086167799999998</v>
      </c>
      <c r="CQ21">
        <f>4.787404458</f>
        <v>4.7874044580000001</v>
      </c>
      <c r="CR21">
        <f>5.163031257</f>
        <v>5.1630312570000001</v>
      </c>
      <c r="CS21">
        <f>5.517861155</f>
        <v>5.5178611550000003</v>
      </c>
      <c r="CT21">
        <f>6.565656566</f>
        <v>6.5656565660000004</v>
      </c>
      <c r="CU21">
        <f>7.465962021</f>
        <v>7.4659620210000002</v>
      </c>
      <c r="CV21">
        <f>6.380290587</f>
        <v>6.3802905870000002</v>
      </c>
      <c r="CW21">
        <f>7.199819779</f>
        <v>7.1998197790000003</v>
      </c>
      <c r="CX21">
        <f>7.690169554</f>
        <v>7.6901695539999997</v>
      </c>
      <c r="CY21">
        <f>7.264</f>
        <v>7.2640000000000002</v>
      </c>
      <c r="CZ21">
        <f>7.997936017</f>
        <v>7.9979360169999998</v>
      </c>
      <c r="DA21">
        <f>7.270420152</f>
        <v>7.2704201519999998</v>
      </c>
      <c r="DB21">
        <f>7.065242737</f>
        <v>7.0652427370000002</v>
      </c>
      <c r="DC21">
        <f>7.69810965</f>
        <v>7.6981096500000001</v>
      </c>
      <c r="DD21">
        <f>8.179056299</f>
        <v>8.1790562990000009</v>
      </c>
      <c r="DE21">
        <f>7.321212121</f>
        <v>7.3212121210000003</v>
      </c>
      <c r="DF21">
        <f>7.597386886</f>
        <v>7.5973868859999998</v>
      </c>
      <c r="DG21">
        <f>7.852329329</f>
        <v>7.8523293289999998</v>
      </c>
      <c r="DH21">
        <f>13.10693236</f>
        <v>13.10693236</v>
      </c>
      <c r="DI21">
        <f>13.14266899</f>
        <v>13.142668990000001</v>
      </c>
      <c r="DJ21">
        <f>13.97849462</f>
        <v>13.978494619999999</v>
      </c>
      <c r="DK21">
        <f>13.2324518</f>
        <v>13.2324518</v>
      </c>
      <c r="DL21">
        <f>13.58917751</f>
        <v>13.589177510000001</v>
      </c>
      <c r="DM21">
        <f>13.26492882</f>
        <v>13.26492882</v>
      </c>
      <c r="DN21">
        <f>11.47294346</f>
        <v>11.47294346</v>
      </c>
      <c r="DO21">
        <f>9.338699817</f>
        <v>9.3386998170000002</v>
      </c>
      <c r="DP21">
        <f>7.941724713</f>
        <v>7.9417247130000002</v>
      </c>
      <c r="DQ21">
        <f>9.916867529</f>
        <v>9.9168675289999992</v>
      </c>
      <c r="DR21">
        <f>12.8268354</f>
        <v>12.8268354</v>
      </c>
      <c r="DS21">
        <f>11.97183099</f>
        <v>11.971830990000001</v>
      </c>
      <c r="DT21">
        <f>9.399831729</f>
        <v>9.3998317290000006</v>
      </c>
      <c r="DU21" t="str">
        <f>""</f>
        <v/>
      </c>
    </row>
    <row r="22" spans="1:125">
      <c r="A22" t="str">
        <f>"    Western Alliance Bancorp"</f>
        <v xml:space="preserve">    Western Alliance Bancorp</v>
      </c>
      <c r="B22" t="str">
        <f>"WAL US Equity"</f>
        <v>WAL US Equity</v>
      </c>
      <c r="E22" t="str">
        <f t="shared" si="0"/>
        <v>Expression</v>
      </c>
      <c r="F22" t="e">
        <f ca="1">IF(AND($B$185=1,LEN($F$223) * LEN($F$224)&gt;0),($F$223/$F$224)*100,HLOOKUP(INDIRECT(ADDRESS(2,COLUMN())),OFFSET($BN$2,0,0,ROW()-1,60),ROW()-1,FALSE))</f>
        <v>#NAME?</v>
      </c>
      <c r="G22" t="str">
        <f ca="1">IF(AND($B$185=1,LEN($G$223) * LEN($G$224)&gt;0),($G$223/$G$224)*100,HLOOKUP(INDIRECT(ADDRESS(2,COLUMN())),OFFSET($BN$2,0,0,ROW()-1,60),ROW()-1,FALSE))</f>
        <v/>
      </c>
      <c r="H22" t="str">
        <f ca="1">IF(AND($B$185=1,LEN($H$223) * LEN($H$224)&gt;0),($H$223/$H$224)*100,HLOOKUP(INDIRECT(ADDRESS(2,COLUMN())),OFFSET($BN$2,0,0,ROW()-1,60),ROW()-1,FALSE))</f>
        <v/>
      </c>
      <c r="I22" t="str">
        <f ca="1">IF(AND($B$185=1,LEN($I$223) * LEN($I$224)&gt;0),($I$223/$I$224)*100,HLOOKUP(INDIRECT(ADDRESS(2,COLUMN())),OFFSET($BN$2,0,0,ROW()-1,60),ROW()-1,FALSE))</f>
        <v/>
      </c>
      <c r="J22" t="str">
        <f ca="1">IF(AND($B$185=1,LEN($J$223) * LEN($J$224)&gt;0),($J$223/$J$224)*100,HLOOKUP(INDIRECT(ADDRESS(2,COLUMN())),OFFSET($BN$2,0,0,ROW()-1,60),ROW()-1,FALSE))</f>
        <v/>
      </c>
      <c r="K22" t="str">
        <f ca="1">IF(AND($B$185=1,LEN($K$223) * LEN($K$224)&gt;0),($K$223/$K$224)*100,HLOOKUP(INDIRECT(ADDRESS(2,COLUMN())),OFFSET($BN$2,0,0,ROW()-1,60),ROW()-1,FALSE))</f>
        <v/>
      </c>
      <c r="L22" t="str">
        <f ca="1">IF(AND($B$185=1,LEN($L$223) * LEN($L$224)&gt;0),($L$223/$L$224)*100,HLOOKUP(INDIRECT(ADDRESS(2,COLUMN())),OFFSET($BN$2,0,0,ROW()-1,60),ROW()-1,FALSE))</f>
        <v/>
      </c>
      <c r="M22" t="str">
        <f ca="1">IF(AND($B$185=1,LEN($M$223) * LEN($M$224)&gt;0),($M$223/$M$224)*100,HLOOKUP(INDIRECT(ADDRESS(2,COLUMN())),OFFSET($BN$2,0,0,ROW()-1,60),ROW()-1,FALSE))</f>
        <v/>
      </c>
      <c r="N22" t="str">
        <f ca="1">IF(AND($B$185=1,LEN($N$223) * LEN($N$224)&gt;0),($N$223/$N$224)*100,HLOOKUP(INDIRECT(ADDRESS(2,COLUMN())),OFFSET($BN$2,0,0,ROW()-1,60),ROW()-1,FALSE))</f>
        <v/>
      </c>
      <c r="O22" t="str">
        <f ca="1">IF(AND($B$185=1,LEN($O$223) * LEN($O$224)&gt;0),($O$223/$O$224)*100,HLOOKUP(INDIRECT(ADDRESS(2,COLUMN())),OFFSET($BN$2,0,0,ROW()-1,60),ROW()-1,FALSE))</f>
        <v/>
      </c>
      <c r="P22" t="str">
        <f ca="1">IF(AND($B$185=1,LEN($P$223) * LEN($P$224)&gt;0),($P$223/$P$224)*100,HLOOKUP(INDIRECT(ADDRESS(2,COLUMN())),OFFSET($BN$2,0,0,ROW()-1,60),ROW()-1,FALSE))</f>
        <v/>
      </c>
      <c r="Q22" t="str">
        <f ca="1">IF(AND($B$185=1,LEN($Q$223) * LEN($Q$224)&gt;0),($Q$223/$Q$224)*100,HLOOKUP(INDIRECT(ADDRESS(2,COLUMN())),OFFSET($BN$2,0,0,ROW()-1,60),ROW()-1,FALSE))</f>
        <v/>
      </c>
      <c r="R22" t="str">
        <f ca="1">IF(AND($B$185=1,LEN($R$223) * LEN($R$224)&gt;0),($R$223/$R$224)*100,HLOOKUP(INDIRECT(ADDRESS(2,COLUMN())),OFFSET($BN$2,0,0,ROW()-1,60),ROW()-1,FALSE))</f>
        <v/>
      </c>
      <c r="S22" t="str">
        <f ca="1">IF(AND($B$185=1,LEN($S$223) * LEN($S$224)&gt;0),($S$223/$S$224)*100,HLOOKUP(INDIRECT(ADDRESS(2,COLUMN())),OFFSET($BN$2,0,0,ROW()-1,60),ROW()-1,FALSE))</f>
        <v/>
      </c>
      <c r="T22" t="str">
        <f ca="1">IF(AND($B$185=1,LEN($T$223) * LEN($T$224)&gt;0),($T$223/$T$224)*100,HLOOKUP(INDIRECT(ADDRESS(2,COLUMN())),OFFSET($BN$2,0,0,ROW()-1,60),ROW()-1,FALSE))</f>
        <v/>
      </c>
      <c r="U22" t="str">
        <f ca="1">IF(AND($B$185=1,LEN($U$223) * LEN($U$224)&gt;0),($U$223/$U$224)*100,HLOOKUP(INDIRECT(ADDRESS(2,COLUMN())),OFFSET($BN$2,0,0,ROW()-1,60),ROW()-1,FALSE))</f>
        <v/>
      </c>
      <c r="V22" t="str">
        <f ca="1">IF(AND($B$185=1,LEN($V$223) * LEN($V$224)&gt;0),($V$223/$V$224)*100,HLOOKUP(INDIRECT(ADDRESS(2,COLUMN())),OFFSET($BN$2,0,0,ROW()-1,60),ROW()-1,FALSE))</f>
        <v/>
      </c>
      <c r="W22" t="str">
        <f ca="1">IF(AND($B$185=1,LEN($W$223) * LEN($W$224)&gt;0),($W$223/$W$224)*100,HLOOKUP(INDIRECT(ADDRESS(2,COLUMN())),OFFSET($BN$2,0,0,ROW()-1,60),ROW()-1,FALSE))</f>
        <v/>
      </c>
      <c r="X22" t="str">
        <f ca="1">IF(AND($B$185=1,LEN($X$223) * LEN($X$224)&gt;0),($X$223/$X$224)*100,HLOOKUP(INDIRECT(ADDRESS(2,COLUMN())),OFFSET($BN$2,0,0,ROW()-1,60),ROW()-1,FALSE))</f>
        <v/>
      </c>
      <c r="Y22" t="str">
        <f ca="1">IF(AND($B$185=1,LEN($Y$223) * LEN($Y$224)&gt;0),($Y$223/$Y$224)*100,HLOOKUP(INDIRECT(ADDRESS(2,COLUMN())),OFFSET($BN$2,0,0,ROW()-1,60),ROW()-1,FALSE))</f>
        <v/>
      </c>
      <c r="Z22" t="str">
        <f ca="1">IF(AND($B$185=1,LEN($Z$223) * LEN($Z$224)&gt;0),($Z$223/$Z$224)*100,HLOOKUP(INDIRECT(ADDRESS(2,COLUMN())),OFFSET($BN$2,0,0,ROW()-1,60),ROW()-1,FALSE))</f>
        <v/>
      </c>
      <c r="AA22" t="str">
        <f ca="1">IF(AND($B$185=1,LEN($AA$223) * LEN($AA$224)&gt;0),($AA$223/$AA$224)*100,HLOOKUP(INDIRECT(ADDRESS(2,COLUMN())),OFFSET($BN$2,0,0,ROW()-1,60),ROW()-1,FALSE))</f>
        <v/>
      </c>
      <c r="AB22" t="str">
        <f ca="1">IF(AND($B$185=1,LEN($AB$223) * LEN($AB$224)&gt;0),($AB$223/$AB$224)*100,HLOOKUP(INDIRECT(ADDRESS(2,COLUMN())),OFFSET($BN$2,0,0,ROW()-1,60),ROW()-1,FALSE))</f>
        <v/>
      </c>
      <c r="AC22" t="str">
        <f ca="1">IF(AND($B$185=1,LEN($AC$223) * LEN($AC$224)&gt;0),($AC$223/$AC$224)*100,HLOOKUP(INDIRECT(ADDRESS(2,COLUMN())),OFFSET($BN$2,0,0,ROW()-1,60),ROW()-1,FALSE))</f>
        <v/>
      </c>
      <c r="AD22" t="str">
        <f ca="1">IF(AND($B$185=1,LEN($AD$223) * LEN($AD$224)&gt;0),($AD$223/$AD$224)*100,HLOOKUP(INDIRECT(ADDRESS(2,COLUMN())),OFFSET($BN$2,0,0,ROW()-1,60),ROW()-1,FALSE))</f>
        <v/>
      </c>
      <c r="AE22" t="str">
        <f ca="1">IF(AND($B$185=1,LEN($AE$223) * LEN($AE$224)&gt;0),($AE$223/$AE$224)*100,HLOOKUP(INDIRECT(ADDRESS(2,COLUMN())),OFFSET($BN$2,0,0,ROW()-1,60),ROW()-1,FALSE))</f>
        <v/>
      </c>
      <c r="AF22" t="str">
        <f ca="1">IF(AND($B$185=1,LEN($AF$223) * LEN($AF$224)&gt;0),($AF$223/$AF$224)*100,HLOOKUP(INDIRECT(ADDRESS(2,COLUMN())),OFFSET($BN$2,0,0,ROW()-1,60),ROW()-1,FALSE))</f>
        <v/>
      </c>
      <c r="AG22" t="str">
        <f ca="1">IF(AND($B$185=1,LEN($AG$223) * LEN($AG$224)&gt;0),($AG$223/$AG$224)*100,HLOOKUP(INDIRECT(ADDRESS(2,COLUMN())),OFFSET($BN$2,0,0,ROW()-1,60),ROW()-1,FALSE))</f>
        <v/>
      </c>
      <c r="AH22" t="str">
        <f ca="1">IF(AND($B$185=1,LEN($AH$223) * LEN($AH$224)&gt;0),($AH$223/$AH$224)*100,HLOOKUP(INDIRECT(ADDRESS(2,COLUMN())),OFFSET($BN$2,0,0,ROW()-1,60),ROW()-1,FALSE))</f>
        <v/>
      </c>
      <c r="AI22" t="str">
        <f ca="1">IF(AND($B$185=1,LEN($AI$223) * LEN($AI$224)&gt;0),($AI$223/$AI$224)*100,HLOOKUP(INDIRECT(ADDRESS(2,COLUMN())),OFFSET($BN$2,0,0,ROW()-1,60),ROW()-1,FALSE))</f>
        <v/>
      </c>
      <c r="AJ22" t="str">
        <f ca="1">IF(AND($B$185=1,LEN($AJ$223) * LEN($AJ$224)&gt;0),($AJ$223/$AJ$224)*100,HLOOKUP(INDIRECT(ADDRESS(2,COLUMN())),OFFSET($BN$2,0,0,ROW()-1,60),ROW()-1,FALSE))</f>
        <v/>
      </c>
      <c r="AK22" t="str">
        <f ca="1">IF(AND($B$185=1,LEN($AK$223) * LEN($AK$224)&gt;0),($AK$223/$AK$224)*100,HLOOKUP(INDIRECT(ADDRESS(2,COLUMN())),OFFSET($BN$2,0,0,ROW()-1,60),ROW()-1,FALSE))</f>
        <v/>
      </c>
      <c r="AL22" t="str">
        <f ca="1">IF(AND($B$185=1,LEN($AL$223) * LEN($AL$224)&gt;0),($AL$223/$AL$224)*100,HLOOKUP(INDIRECT(ADDRESS(2,COLUMN())),OFFSET($BN$2,0,0,ROW()-1,60),ROW()-1,FALSE))</f>
        <v/>
      </c>
      <c r="AM22" t="str">
        <f ca="1">IF(AND($B$185=1,LEN($AM$223) * LEN($AM$224)&gt;0),($AM$223/$AM$224)*100,HLOOKUP(INDIRECT(ADDRESS(2,COLUMN())),OFFSET($BN$2,0,0,ROW()-1,60),ROW()-1,FALSE))</f>
        <v/>
      </c>
      <c r="AN22" t="str">
        <f ca="1">IF(AND($B$185=1,LEN($AN$223) * LEN($AN$224)&gt;0),($AN$223/$AN$224)*100,HLOOKUP(INDIRECT(ADDRESS(2,COLUMN())),OFFSET($BN$2,0,0,ROW()-1,60),ROW()-1,FALSE))</f>
        <v/>
      </c>
      <c r="AO22" t="str">
        <f ca="1">IF(AND($B$185=1,LEN($AO$223) * LEN($AO$224)&gt;0),($AO$223/$AO$224)*100,HLOOKUP(INDIRECT(ADDRESS(2,COLUMN())),OFFSET($BN$2,0,0,ROW()-1,60),ROW()-1,FALSE))</f>
        <v/>
      </c>
      <c r="AP22" t="str">
        <f ca="1">IF(AND($B$185=1,LEN($AP$223) * LEN($AP$224)&gt;0),($AP$223/$AP$224)*100,HLOOKUP(INDIRECT(ADDRESS(2,COLUMN())),OFFSET($BN$2,0,0,ROW()-1,60),ROW()-1,FALSE))</f>
        <v/>
      </c>
      <c r="AQ22" t="str">
        <f ca="1">IF(AND($B$185=1,LEN($AQ$223) * LEN($AQ$224)&gt;0),($AQ$223/$AQ$224)*100,HLOOKUP(INDIRECT(ADDRESS(2,COLUMN())),OFFSET($BN$2,0,0,ROW()-1,60),ROW()-1,FALSE))</f>
        <v/>
      </c>
      <c r="AR22" t="str">
        <f ca="1">IF(AND($B$185=1,LEN($AR$223) * LEN($AR$224)&gt;0),($AR$223/$AR$224)*100,HLOOKUP(INDIRECT(ADDRESS(2,COLUMN())),OFFSET($BN$2,0,0,ROW()-1,60),ROW()-1,FALSE))</f>
        <v/>
      </c>
      <c r="AS22" t="str">
        <f ca="1">IF(AND($B$185=1,LEN($AS$223) * LEN($AS$224)&gt;0),($AS$223/$AS$224)*100,HLOOKUP(INDIRECT(ADDRESS(2,COLUMN())),OFFSET($BN$2,0,0,ROW()-1,60),ROW()-1,FALSE))</f>
        <v/>
      </c>
      <c r="AT22" t="str">
        <f ca="1">IF(AND($B$185=1,LEN($AT$223) * LEN($AT$224)&gt;0),($AT$223/$AT$224)*100,HLOOKUP(INDIRECT(ADDRESS(2,COLUMN())),OFFSET($BN$2,0,0,ROW()-1,60),ROW()-1,FALSE))</f>
        <v/>
      </c>
      <c r="AU22" t="str">
        <f ca="1">IF(AND($B$185=1,LEN($AU$223) * LEN($AU$224)&gt;0),($AU$223/$AU$224)*100,HLOOKUP(INDIRECT(ADDRESS(2,COLUMN())),OFFSET($BN$2,0,0,ROW()-1,60),ROW()-1,FALSE))</f>
        <v/>
      </c>
      <c r="AV22" t="str">
        <f ca="1">IF(AND($B$185=1,LEN($AV$223) * LEN($AV$224)&gt;0),($AV$223/$AV$224)*100,HLOOKUP(INDIRECT(ADDRESS(2,COLUMN())),OFFSET($BN$2,0,0,ROW()-1,60),ROW()-1,FALSE))</f>
        <v/>
      </c>
      <c r="AW22" t="str">
        <f ca="1">IF(AND($B$185=1,LEN($AW$223) * LEN($AW$224)&gt;0),($AW$223/$AW$224)*100,HLOOKUP(INDIRECT(ADDRESS(2,COLUMN())),OFFSET($BN$2,0,0,ROW()-1,60),ROW()-1,FALSE))</f>
        <v/>
      </c>
      <c r="AX22" t="str">
        <f ca="1">IF(AND($B$185=1,LEN($AX$223) * LEN($AX$224)&gt;0),($AX$223/$AX$224)*100,HLOOKUP(INDIRECT(ADDRESS(2,COLUMN())),OFFSET($BN$2,0,0,ROW()-1,60),ROW()-1,FALSE))</f>
        <v/>
      </c>
      <c r="AY22" t="str">
        <f ca="1">IF(AND($B$185=1,LEN($AY$223) * LEN($AY$224)&gt;0),($AY$223/$AY$224)*100,HLOOKUP(INDIRECT(ADDRESS(2,COLUMN())),OFFSET($BN$2,0,0,ROW()-1,60),ROW()-1,FALSE))</f>
        <v/>
      </c>
      <c r="AZ22" t="str">
        <f ca="1">IF(AND($B$185=1,LEN($AZ$223) * LEN($AZ$224)&gt;0),($AZ$223/$AZ$224)*100,HLOOKUP(INDIRECT(ADDRESS(2,COLUMN())),OFFSET($BN$2,0,0,ROW()-1,60),ROW()-1,FALSE))</f>
        <v/>
      </c>
      <c r="BA22" t="str">
        <f ca="1">IF(AND($B$185=1,LEN($BA$223) * LEN($BA$224)&gt;0),($BA$223/$BA$224)*100,HLOOKUP(INDIRECT(ADDRESS(2,COLUMN())),OFFSET($BN$2,0,0,ROW()-1,60),ROW()-1,FALSE))</f>
        <v/>
      </c>
      <c r="BB22" t="str">
        <f ca="1">IF(AND($B$185=1,LEN($BB$223) * LEN($BB$224)&gt;0),($BB$223/$BB$224)*100,HLOOKUP(INDIRECT(ADDRESS(2,COLUMN())),OFFSET($BN$2,0,0,ROW()-1,60),ROW()-1,FALSE))</f>
        <v/>
      </c>
      <c r="BC22" t="str">
        <f ca="1">IF(AND($B$185=1,LEN($BC$223) * LEN($BC$224)&gt;0),($BC$223/$BC$224)*100,HLOOKUP(INDIRECT(ADDRESS(2,COLUMN())),OFFSET($BN$2,0,0,ROW()-1,60),ROW()-1,FALSE))</f>
        <v/>
      </c>
      <c r="BD22" t="str">
        <f ca="1">IF(AND($B$185=1,LEN($BD$223) * LEN($BD$224)&gt;0),($BD$223/$BD$224)*100,HLOOKUP(INDIRECT(ADDRESS(2,COLUMN())),OFFSET($BN$2,0,0,ROW()-1,60),ROW()-1,FALSE))</f>
        <v/>
      </c>
      <c r="BE22" t="str">
        <f ca="1">IF(AND($B$185=1,LEN($BE$223) * LEN($BE$224)&gt;0),($BE$223/$BE$224)*100,HLOOKUP(INDIRECT(ADDRESS(2,COLUMN())),OFFSET($BN$2,0,0,ROW()-1,60),ROW()-1,FALSE))</f>
        <v/>
      </c>
      <c r="BF22" t="str">
        <f ca="1">IF(AND($B$185=1,LEN($BF$223) * LEN($BF$224)&gt;0),($BF$223/$BF$224)*100,HLOOKUP(INDIRECT(ADDRESS(2,COLUMN())),OFFSET($BN$2,0,0,ROW()-1,60),ROW()-1,FALSE))</f>
        <v/>
      </c>
      <c r="BG22" t="str">
        <f ca="1">IF(AND($B$185=1,LEN($BG$223) * LEN($BG$224)&gt;0),($BG$223/$BG$224)*100,HLOOKUP(INDIRECT(ADDRESS(2,COLUMN())),OFFSET($BN$2,0,0,ROW()-1,60),ROW()-1,FALSE))</f>
        <v/>
      </c>
      <c r="BH22" t="str">
        <f ca="1">IF(AND($B$185=1,LEN($BH$223) * LEN($BH$224)&gt;0),($BH$223/$BH$224)*100,HLOOKUP(INDIRECT(ADDRESS(2,COLUMN())),OFFSET($BN$2,0,0,ROW()-1,60),ROW()-1,FALSE))</f>
        <v/>
      </c>
      <c r="BI22" t="str">
        <f ca="1">IF(AND($B$185=1,LEN($BI$223) * LEN($BI$224)&gt;0),($BI$223/$BI$224)*100,HLOOKUP(INDIRECT(ADDRESS(2,COLUMN())),OFFSET($BN$2,0,0,ROW()-1,60),ROW()-1,FALSE))</f>
        <v/>
      </c>
      <c r="BJ22" t="str">
        <f ca="1">IF(AND($B$185=1,LEN($BJ$223) * LEN($BJ$224)&gt;0),($BJ$223/$BJ$224)*100,HLOOKUP(INDIRECT(ADDRESS(2,COLUMN())),OFFSET($BN$2,0,0,ROW()-1,60),ROW()-1,FALSE))</f>
        <v/>
      </c>
      <c r="BK22" t="str">
        <f ca="1">IF(AND($B$185=1,LEN($BK$223) * LEN($BK$224)&gt;0),($BK$223/$BK$224)*100,HLOOKUP(INDIRECT(ADDRESS(2,COLUMN())),OFFSET($BN$2,0,0,ROW()-1,60),ROW()-1,FALSE))</f>
        <v/>
      </c>
      <c r="BL22" t="str">
        <f ca="1">IF(AND($B$185=1,LEN($BL$223) * LEN($BL$224)&gt;0),($BL$223/$BL$224)*100,HLOOKUP(INDIRECT(ADDRESS(2,COLUMN())),OFFSET($BN$2,0,0,ROW()-1,60),ROW()-1,FALSE))</f>
        <v/>
      </c>
      <c r="BM22" t="str">
        <f ca="1">IF(AND($B$185=1,LEN($BM$223) * LEN($BM$224)&gt;0),($BM$223/$BM$224)*100,HLOOKUP(INDIRECT(ADDRESS(2,COLUMN())),OFFSET($BN$2,0,0,ROW()-1,60),ROW()-1,FALSE))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  <c r="BT22" t="str">
        <f>""</f>
        <v/>
      </c>
      <c r="BU22" t="str">
        <f>""</f>
        <v/>
      </c>
      <c r="BV22" t="str">
        <f>""</f>
        <v/>
      </c>
      <c r="BW22" t="str">
        <f>""</f>
        <v/>
      </c>
      <c r="BX22" t="str">
        <f>""</f>
        <v/>
      </c>
      <c r="BY22" t="str">
        <f>""</f>
        <v/>
      </c>
      <c r="BZ22" t="str">
        <f>""</f>
        <v/>
      </c>
      <c r="CA22" t="str">
        <f>""</f>
        <v/>
      </c>
      <c r="CB22" t="str">
        <f>""</f>
        <v/>
      </c>
      <c r="CC22" t="str">
        <f>""</f>
        <v/>
      </c>
      <c r="CD22" t="str">
        <f>""</f>
        <v/>
      </c>
      <c r="CE22" t="str">
        <f>""</f>
        <v/>
      </c>
      <c r="CF22" t="str">
        <f>""</f>
        <v/>
      </c>
      <c r="CG22" t="str">
        <f>""</f>
        <v/>
      </c>
      <c r="CH22" t="str">
        <f>""</f>
        <v/>
      </c>
      <c r="CI22" t="str">
        <f>""</f>
        <v/>
      </c>
      <c r="CJ22" t="str">
        <f>""</f>
        <v/>
      </c>
      <c r="CK22" t="str">
        <f>""</f>
        <v/>
      </c>
      <c r="CL22" t="str">
        <f>""</f>
        <v/>
      </c>
      <c r="CM22" t="str">
        <f>""</f>
        <v/>
      </c>
      <c r="CN22" t="str">
        <f>""</f>
        <v/>
      </c>
      <c r="CO22" t="str">
        <f>""</f>
        <v/>
      </c>
      <c r="CP22" t="str">
        <f>""</f>
        <v/>
      </c>
      <c r="CQ22" t="str">
        <f>""</f>
        <v/>
      </c>
      <c r="CR22" t="str">
        <f>""</f>
        <v/>
      </c>
      <c r="CS22" t="str">
        <f>""</f>
        <v/>
      </c>
      <c r="CT22" t="str">
        <f>""</f>
        <v/>
      </c>
      <c r="CU22" t="str">
        <f>""</f>
        <v/>
      </c>
      <c r="CV22" t="str">
        <f>""</f>
        <v/>
      </c>
      <c r="CW22" t="str">
        <f>""</f>
        <v/>
      </c>
      <c r="CX22" t="str">
        <f>""</f>
        <v/>
      </c>
      <c r="CY22" t="str">
        <f>""</f>
        <v/>
      </c>
      <c r="CZ22" t="str">
        <f>""</f>
        <v/>
      </c>
      <c r="DA22" t="str">
        <f>""</f>
        <v/>
      </c>
      <c r="DB22" t="str">
        <f>""</f>
        <v/>
      </c>
      <c r="DC22" t="str">
        <f>""</f>
        <v/>
      </c>
      <c r="DD22" t="str">
        <f>""</f>
        <v/>
      </c>
      <c r="DE22" t="str">
        <f>""</f>
        <v/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>
      <c r="A23" t="str">
        <f>"    Zions Bancorp NA"</f>
        <v xml:space="preserve">    Zions Bancorp NA</v>
      </c>
      <c r="B23" t="str">
        <f>"ZION US Equity"</f>
        <v>ZION US Equity</v>
      </c>
      <c r="E23" t="str">
        <f t="shared" si="0"/>
        <v>Expression</v>
      </c>
      <c r="F23" t="e">
        <f ca="1">IF(AND($B$185=1,LEN($F$225) * LEN($F$226)&gt;0),($F$225/$F$226)*100,HLOOKUP(INDIRECT(ADDRESS(2,COLUMN())),OFFSET($BN$2,0,0,ROW()-1,60),ROW()-1,FALSE))</f>
        <v>#NAME?</v>
      </c>
      <c r="G23" t="str">
        <f ca="1">IF(AND($B$185=1,LEN($G$225) * LEN($G$226)&gt;0),($G$225/$G$226)*100,HLOOKUP(INDIRECT(ADDRESS(2,COLUMN())),OFFSET($BN$2,0,0,ROW()-1,60),ROW()-1,FALSE))</f>
        <v/>
      </c>
      <c r="H23" t="str">
        <f ca="1">IF(AND($B$185=1,LEN($H$225) * LEN($H$226)&gt;0),($H$225/$H$226)*100,HLOOKUP(INDIRECT(ADDRESS(2,COLUMN())),OFFSET($BN$2,0,0,ROW()-1,60),ROW()-1,FALSE))</f>
        <v/>
      </c>
      <c r="I23" t="str">
        <f ca="1">IF(AND($B$185=1,LEN($I$225) * LEN($I$226)&gt;0),($I$225/$I$226)*100,HLOOKUP(INDIRECT(ADDRESS(2,COLUMN())),OFFSET($BN$2,0,0,ROW()-1,60),ROW()-1,FALSE))</f>
        <v/>
      </c>
      <c r="J23" t="str">
        <f ca="1">IF(AND($B$185=1,LEN($J$225) * LEN($J$226)&gt;0),($J$225/$J$226)*100,HLOOKUP(INDIRECT(ADDRESS(2,COLUMN())),OFFSET($BN$2,0,0,ROW()-1,60),ROW()-1,FALSE))</f>
        <v/>
      </c>
      <c r="K23" t="str">
        <f ca="1">IF(AND($B$185=1,LEN($K$225) * LEN($K$226)&gt;0),($K$225/$K$226)*100,HLOOKUP(INDIRECT(ADDRESS(2,COLUMN())),OFFSET($BN$2,0,0,ROW()-1,60),ROW()-1,FALSE))</f>
        <v/>
      </c>
      <c r="L23" t="str">
        <f ca="1">IF(AND($B$185=1,LEN($L$225) * LEN($L$226)&gt;0),($L$225/$L$226)*100,HLOOKUP(INDIRECT(ADDRESS(2,COLUMN())),OFFSET($BN$2,0,0,ROW()-1,60),ROW()-1,FALSE))</f>
        <v/>
      </c>
      <c r="M23" t="str">
        <f ca="1">IF(AND($B$185=1,LEN($M$225) * LEN($M$226)&gt;0),($M$225/$M$226)*100,HLOOKUP(INDIRECT(ADDRESS(2,COLUMN())),OFFSET($BN$2,0,0,ROW()-1,60),ROW()-1,FALSE))</f>
        <v/>
      </c>
      <c r="N23" t="str">
        <f ca="1">IF(AND($B$185=1,LEN($N$225) * LEN($N$226)&gt;0),($N$225/$N$226)*100,HLOOKUP(INDIRECT(ADDRESS(2,COLUMN())),OFFSET($BN$2,0,0,ROW()-1,60),ROW()-1,FALSE))</f>
        <v/>
      </c>
      <c r="O23" t="str">
        <f ca="1">IF(AND($B$185=1,LEN($O$225) * LEN($O$226)&gt;0),($O$225/$O$226)*100,HLOOKUP(INDIRECT(ADDRESS(2,COLUMN())),OFFSET($BN$2,0,0,ROW()-1,60),ROW()-1,FALSE))</f>
        <v/>
      </c>
      <c r="P23" t="str">
        <f ca="1">IF(AND($B$185=1,LEN($P$225) * LEN($P$226)&gt;0),($P$225/$P$226)*100,HLOOKUP(INDIRECT(ADDRESS(2,COLUMN())),OFFSET($BN$2,0,0,ROW()-1,60),ROW()-1,FALSE))</f>
        <v/>
      </c>
      <c r="Q23" t="str">
        <f ca="1">IF(AND($B$185=1,LEN($Q$225) * LEN($Q$226)&gt;0),($Q$225/$Q$226)*100,HLOOKUP(INDIRECT(ADDRESS(2,COLUMN())),OFFSET($BN$2,0,0,ROW()-1,60),ROW()-1,FALSE))</f>
        <v/>
      </c>
      <c r="R23" t="str">
        <f ca="1">IF(AND($B$185=1,LEN($R$225) * LEN($R$226)&gt;0),($R$225/$R$226)*100,HLOOKUP(INDIRECT(ADDRESS(2,COLUMN())),OFFSET($BN$2,0,0,ROW()-1,60),ROW()-1,FALSE))</f>
        <v/>
      </c>
      <c r="S23" t="str">
        <f ca="1">IF(AND($B$185=1,LEN($S$225) * LEN($S$226)&gt;0),($S$225/$S$226)*100,HLOOKUP(INDIRECT(ADDRESS(2,COLUMN())),OFFSET($BN$2,0,0,ROW()-1,60),ROW()-1,FALSE))</f>
        <v/>
      </c>
      <c r="T23" t="str">
        <f ca="1">IF(AND($B$185=1,LEN($T$225) * LEN($T$226)&gt;0),($T$225/$T$226)*100,HLOOKUP(INDIRECT(ADDRESS(2,COLUMN())),OFFSET($BN$2,0,0,ROW()-1,60),ROW()-1,FALSE))</f>
        <v/>
      </c>
      <c r="U23" t="str">
        <f ca="1">IF(AND($B$185=1,LEN($U$225) * LEN($U$226)&gt;0),($U$225/$U$226)*100,HLOOKUP(INDIRECT(ADDRESS(2,COLUMN())),OFFSET($BN$2,0,0,ROW()-1,60),ROW()-1,FALSE))</f>
        <v/>
      </c>
      <c r="V23" t="str">
        <f ca="1">IF(AND($B$185=1,LEN($V$225) * LEN($V$226)&gt;0),($V$225/$V$226)*100,HLOOKUP(INDIRECT(ADDRESS(2,COLUMN())),OFFSET($BN$2,0,0,ROW()-1,60),ROW()-1,FALSE))</f>
        <v/>
      </c>
      <c r="W23" t="str">
        <f ca="1">IF(AND($B$185=1,LEN($W$225) * LEN($W$226)&gt;0),($W$225/$W$226)*100,HLOOKUP(INDIRECT(ADDRESS(2,COLUMN())),OFFSET($BN$2,0,0,ROW()-1,60),ROW()-1,FALSE))</f>
        <v/>
      </c>
      <c r="X23" t="str">
        <f ca="1">IF(AND($B$185=1,LEN($X$225) * LEN($X$226)&gt;0),($X$225/$X$226)*100,HLOOKUP(INDIRECT(ADDRESS(2,COLUMN())),OFFSET($BN$2,0,0,ROW()-1,60),ROW()-1,FALSE))</f>
        <v/>
      </c>
      <c r="Y23" t="str">
        <f ca="1">IF(AND($B$185=1,LEN($Y$225) * LEN($Y$226)&gt;0),($Y$225/$Y$226)*100,HLOOKUP(INDIRECT(ADDRESS(2,COLUMN())),OFFSET($BN$2,0,0,ROW()-1,60),ROW()-1,FALSE))</f>
        <v/>
      </c>
      <c r="Z23" t="str">
        <f ca="1">IF(AND($B$185=1,LEN($Z$225) * LEN($Z$226)&gt;0),($Z$225/$Z$226)*100,HLOOKUP(INDIRECT(ADDRESS(2,COLUMN())),OFFSET($BN$2,0,0,ROW()-1,60),ROW()-1,FALSE))</f>
        <v/>
      </c>
      <c r="AA23" t="str">
        <f ca="1">IF(AND($B$185=1,LEN($AA$225) * LEN($AA$226)&gt;0),($AA$225/$AA$226)*100,HLOOKUP(INDIRECT(ADDRESS(2,COLUMN())),OFFSET($BN$2,0,0,ROW()-1,60),ROW()-1,FALSE))</f>
        <v/>
      </c>
      <c r="AB23" t="str">
        <f ca="1">IF(AND($B$185=1,LEN($AB$225) * LEN($AB$226)&gt;0),($AB$225/$AB$226)*100,HLOOKUP(INDIRECT(ADDRESS(2,COLUMN())),OFFSET($BN$2,0,0,ROW()-1,60),ROW()-1,FALSE))</f>
        <v/>
      </c>
      <c r="AC23" t="str">
        <f ca="1">IF(AND($B$185=1,LEN($AC$225) * LEN($AC$226)&gt;0),($AC$225/$AC$226)*100,HLOOKUP(INDIRECT(ADDRESS(2,COLUMN())),OFFSET($BN$2,0,0,ROW()-1,60),ROW()-1,FALSE))</f>
        <v/>
      </c>
      <c r="AD23" t="str">
        <f ca="1">IF(AND($B$185=1,LEN($AD$225) * LEN($AD$226)&gt;0),($AD$225/$AD$226)*100,HLOOKUP(INDIRECT(ADDRESS(2,COLUMN())),OFFSET($BN$2,0,0,ROW()-1,60),ROW()-1,FALSE))</f>
        <v/>
      </c>
      <c r="AE23" t="str">
        <f ca="1">IF(AND($B$185=1,LEN($AE$225) * LEN($AE$226)&gt;0),($AE$225/$AE$226)*100,HLOOKUP(INDIRECT(ADDRESS(2,COLUMN())),OFFSET($BN$2,0,0,ROW()-1,60),ROW()-1,FALSE))</f>
        <v/>
      </c>
      <c r="AF23" t="str">
        <f ca="1">IF(AND($B$185=1,LEN($AF$225) * LEN($AF$226)&gt;0),($AF$225/$AF$226)*100,HLOOKUP(INDIRECT(ADDRESS(2,COLUMN())),OFFSET($BN$2,0,0,ROW()-1,60),ROW()-1,FALSE))</f>
        <v/>
      </c>
      <c r="AG23" t="str">
        <f ca="1">IF(AND($B$185=1,LEN($AG$225) * LEN($AG$226)&gt;0),($AG$225/$AG$226)*100,HLOOKUP(INDIRECT(ADDRESS(2,COLUMN())),OFFSET($BN$2,0,0,ROW()-1,60),ROW()-1,FALSE))</f>
        <v/>
      </c>
      <c r="AH23" t="str">
        <f ca="1">IF(AND($B$185=1,LEN($AH$225) * LEN($AH$226)&gt;0),($AH$225/$AH$226)*100,HLOOKUP(INDIRECT(ADDRESS(2,COLUMN())),OFFSET($BN$2,0,0,ROW()-1,60),ROW()-1,FALSE))</f>
        <v/>
      </c>
      <c r="AI23" t="str">
        <f ca="1">IF(AND($B$185=1,LEN($AI$225) * LEN($AI$226)&gt;0),($AI$225/$AI$226)*100,HLOOKUP(INDIRECT(ADDRESS(2,COLUMN())),OFFSET($BN$2,0,0,ROW()-1,60),ROW()-1,FALSE))</f>
        <v/>
      </c>
      <c r="AJ23" t="str">
        <f ca="1">IF(AND($B$185=1,LEN($AJ$225) * LEN($AJ$226)&gt;0),($AJ$225/$AJ$226)*100,HLOOKUP(INDIRECT(ADDRESS(2,COLUMN())),OFFSET($BN$2,0,0,ROW()-1,60),ROW()-1,FALSE))</f>
        <v/>
      </c>
      <c r="AK23" t="str">
        <f ca="1">IF(AND($B$185=1,LEN($AK$225) * LEN($AK$226)&gt;0),($AK$225/$AK$226)*100,HLOOKUP(INDIRECT(ADDRESS(2,COLUMN())),OFFSET($BN$2,0,0,ROW()-1,60),ROW()-1,FALSE))</f>
        <v/>
      </c>
      <c r="AL23" t="str">
        <f ca="1">IF(AND($B$185=1,LEN($AL$225) * LEN($AL$226)&gt;0),($AL$225/$AL$226)*100,HLOOKUP(INDIRECT(ADDRESS(2,COLUMN())),OFFSET($BN$2,0,0,ROW()-1,60),ROW()-1,FALSE))</f>
        <v/>
      </c>
      <c r="AM23" t="str">
        <f ca="1">IF(AND($B$185=1,LEN($AM$225) * LEN($AM$226)&gt;0),($AM$225/$AM$226)*100,HLOOKUP(INDIRECT(ADDRESS(2,COLUMN())),OFFSET($BN$2,0,0,ROW()-1,60),ROW()-1,FALSE))</f>
        <v/>
      </c>
      <c r="AN23" t="str">
        <f ca="1">IF(AND($B$185=1,LEN($AN$225) * LEN($AN$226)&gt;0),($AN$225/$AN$226)*100,HLOOKUP(INDIRECT(ADDRESS(2,COLUMN())),OFFSET($BN$2,0,0,ROW()-1,60),ROW()-1,FALSE))</f>
        <v/>
      </c>
      <c r="AO23" t="str">
        <f ca="1">IF(AND($B$185=1,LEN($AO$225) * LEN($AO$226)&gt;0),($AO$225/$AO$226)*100,HLOOKUP(INDIRECT(ADDRESS(2,COLUMN())),OFFSET($BN$2,0,0,ROW()-1,60),ROW()-1,FALSE))</f>
        <v/>
      </c>
      <c r="AP23" t="str">
        <f ca="1">IF(AND($B$185=1,LEN($AP$225) * LEN($AP$226)&gt;0),($AP$225/$AP$226)*100,HLOOKUP(INDIRECT(ADDRESS(2,COLUMN())),OFFSET($BN$2,0,0,ROW()-1,60),ROW()-1,FALSE))</f>
        <v/>
      </c>
      <c r="AQ23" t="str">
        <f ca="1">IF(AND($B$185=1,LEN($AQ$225) * LEN($AQ$226)&gt;0),($AQ$225/$AQ$226)*100,HLOOKUP(INDIRECT(ADDRESS(2,COLUMN())),OFFSET($BN$2,0,0,ROW()-1,60),ROW()-1,FALSE))</f>
        <v/>
      </c>
      <c r="AR23" t="str">
        <f ca="1">IF(AND($B$185=1,LEN($AR$225) * LEN($AR$226)&gt;0),($AR$225/$AR$226)*100,HLOOKUP(INDIRECT(ADDRESS(2,COLUMN())),OFFSET($BN$2,0,0,ROW()-1,60),ROW()-1,FALSE))</f>
        <v/>
      </c>
      <c r="AS23" t="str">
        <f ca="1">IF(AND($B$185=1,LEN($AS$225) * LEN($AS$226)&gt;0),($AS$225/$AS$226)*100,HLOOKUP(INDIRECT(ADDRESS(2,COLUMN())),OFFSET($BN$2,0,0,ROW()-1,60),ROW()-1,FALSE))</f>
        <v/>
      </c>
      <c r="AT23" t="str">
        <f ca="1">IF(AND($B$185=1,LEN($AT$225) * LEN($AT$226)&gt;0),($AT$225/$AT$226)*100,HLOOKUP(INDIRECT(ADDRESS(2,COLUMN())),OFFSET($BN$2,0,0,ROW()-1,60),ROW()-1,FALSE))</f>
        <v/>
      </c>
      <c r="AU23" t="str">
        <f ca="1">IF(AND($B$185=1,LEN($AU$225) * LEN($AU$226)&gt;0),($AU$225/$AU$226)*100,HLOOKUP(INDIRECT(ADDRESS(2,COLUMN())),OFFSET($BN$2,0,0,ROW()-1,60),ROW()-1,FALSE))</f>
        <v/>
      </c>
      <c r="AV23" t="str">
        <f ca="1">IF(AND($B$185=1,LEN($AV$225) * LEN($AV$226)&gt;0),($AV$225/$AV$226)*100,HLOOKUP(INDIRECT(ADDRESS(2,COLUMN())),OFFSET($BN$2,0,0,ROW()-1,60),ROW()-1,FALSE))</f>
        <v/>
      </c>
      <c r="AW23" t="str">
        <f ca="1">IF(AND($B$185=1,LEN($AW$225) * LEN($AW$226)&gt;0),($AW$225/$AW$226)*100,HLOOKUP(INDIRECT(ADDRESS(2,COLUMN())),OFFSET($BN$2,0,0,ROW()-1,60),ROW()-1,FALSE))</f>
        <v/>
      </c>
      <c r="AX23" t="str">
        <f ca="1">IF(AND($B$185=1,LEN($AX$225) * LEN($AX$226)&gt;0),($AX$225/$AX$226)*100,HLOOKUP(INDIRECT(ADDRESS(2,COLUMN())),OFFSET($BN$2,0,0,ROW()-1,60),ROW()-1,FALSE))</f>
        <v/>
      </c>
      <c r="AY23" t="str">
        <f ca="1">IF(AND($B$185=1,LEN($AY$225) * LEN($AY$226)&gt;0),($AY$225/$AY$226)*100,HLOOKUP(INDIRECT(ADDRESS(2,COLUMN())),OFFSET($BN$2,0,0,ROW()-1,60),ROW()-1,FALSE))</f>
        <v/>
      </c>
      <c r="AZ23" t="str">
        <f ca="1">IF(AND($B$185=1,LEN($AZ$225) * LEN($AZ$226)&gt;0),($AZ$225/$AZ$226)*100,HLOOKUP(INDIRECT(ADDRESS(2,COLUMN())),OFFSET($BN$2,0,0,ROW()-1,60),ROW()-1,FALSE))</f>
        <v/>
      </c>
      <c r="BA23" t="str">
        <f ca="1">IF(AND($B$185=1,LEN($BA$225) * LEN($BA$226)&gt;0),($BA$225/$BA$226)*100,HLOOKUP(INDIRECT(ADDRESS(2,COLUMN())),OFFSET($BN$2,0,0,ROW()-1,60),ROW()-1,FALSE))</f>
        <v/>
      </c>
      <c r="BB23" t="str">
        <f ca="1">IF(AND($B$185=1,LEN($BB$225) * LEN($BB$226)&gt;0),($BB$225/$BB$226)*100,HLOOKUP(INDIRECT(ADDRESS(2,COLUMN())),OFFSET($BN$2,0,0,ROW()-1,60),ROW()-1,FALSE))</f>
        <v/>
      </c>
      <c r="BC23" t="str">
        <f ca="1">IF(AND($B$185=1,LEN($BC$225) * LEN($BC$226)&gt;0),($BC$225/$BC$226)*100,HLOOKUP(INDIRECT(ADDRESS(2,COLUMN())),OFFSET($BN$2,0,0,ROW()-1,60),ROW()-1,FALSE))</f>
        <v/>
      </c>
      <c r="BD23" t="str">
        <f ca="1">IF(AND($B$185=1,LEN($BD$225) * LEN($BD$226)&gt;0),($BD$225/$BD$226)*100,HLOOKUP(INDIRECT(ADDRESS(2,COLUMN())),OFFSET($BN$2,0,0,ROW()-1,60),ROW()-1,FALSE))</f>
        <v/>
      </c>
      <c r="BE23" t="str">
        <f ca="1">IF(AND($B$185=1,LEN($BE$225) * LEN($BE$226)&gt;0),($BE$225/$BE$226)*100,HLOOKUP(INDIRECT(ADDRESS(2,COLUMN())),OFFSET($BN$2,0,0,ROW()-1,60),ROW()-1,FALSE))</f>
        <v/>
      </c>
      <c r="BF23" t="str">
        <f ca="1">IF(AND($B$185=1,LEN($BF$225) * LEN($BF$226)&gt;0),($BF$225/$BF$226)*100,HLOOKUP(INDIRECT(ADDRESS(2,COLUMN())),OFFSET($BN$2,0,0,ROW()-1,60),ROW()-1,FALSE))</f>
        <v/>
      </c>
      <c r="BG23" t="str">
        <f ca="1">IF(AND($B$185=1,LEN($BG$225) * LEN($BG$226)&gt;0),($BG$225/$BG$226)*100,HLOOKUP(INDIRECT(ADDRESS(2,COLUMN())),OFFSET($BN$2,0,0,ROW()-1,60),ROW()-1,FALSE))</f>
        <v/>
      </c>
      <c r="BH23" t="str">
        <f ca="1">IF(AND($B$185=1,LEN($BH$225) * LEN($BH$226)&gt;0),($BH$225/$BH$226)*100,HLOOKUP(INDIRECT(ADDRESS(2,COLUMN())),OFFSET($BN$2,0,0,ROW()-1,60),ROW()-1,FALSE))</f>
        <v/>
      </c>
      <c r="BI23" t="str">
        <f ca="1">IF(AND($B$185=1,LEN($BI$225) * LEN($BI$226)&gt;0),($BI$225/$BI$226)*100,HLOOKUP(INDIRECT(ADDRESS(2,COLUMN())),OFFSET($BN$2,0,0,ROW()-1,60),ROW()-1,FALSE))</f>
        <v/>
      </c>
      <c r="BJ23" t="str">
        <f ca="1">IF(AND($B$185=1,LEN($BJ$225) * LEN($BJ$226)&gt;0),($BJ$225/$BJ$226)*100,HLOOKUP(INDIRECT(ADDRESS(2,COLUMN())),OFFSET($BN$2,0,0,ROW()-1,60),ROW()-1,FALSE))</f>
        <v/>
      </c>
      <c r="BK23" t="str">
        <f ca="1">IF(AND($B$185=1,LEN($BK$225) * LEN($BK$226)&gt;0),($BK$225/$BK$226)*100,HLOOKUP(INDIRECT(ADDRESS(2,COLUMN())),OFFSET($BN$2,0,0,ROW()-1,60),ROW()-1,FALSE))</f>
        <v/>
      </c>
      <c r="BL23" t="str">
        <f ca="1">IF(AND($B$185=1,LEN($BL$225) * LEN($BL$226)&gt;0),($BL$225/$BL$226)*100,HLOOKUP(INDIRECT(ADDRESS(2,COLUMN())),OFFSET($BN$2,0,0,ROW()-1,60),ROW()-1,FALSE))</f>
        <v/>
      </c>
      <c r="BM23" t="str">
        <f ca="1">IF(AND($B$185=1,LEN($BM$225) * LEN($BM$226)&gt;0),($BM$225/$BM$226)*100,HLOOKUP(INDIRECT(ADDRESS(2,COLUMN())),OFFSET($BN$2,0,0,ROW()-1,60),ROW()-1,FALSE))</f>
        <v/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  <c r="BT23" t="str">
        <f>""</f>
        <v/>
      </c>
      <c r="BU23" t="str">
        <f>""</f>
        <v/>
      </c>
      <c r="BV23" t="str">
        <f>""</f>
        <v/>
      </c>
      <c r="BW23" t="str">
        <f>""</f>
        <v/>
      </c>
      <c r="BX23" t="str">
        <f>""</f>
        <v/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  <c r="CI23" t="str">
        <f>""</f>
        <v/>
      </c>
      <c r="CJ23" t="str">
        <f>""</f>
        <v/>
      </c>
      <c r="CK23" t="str">
        <f>""</f>
        <v/>
      </c>
      <c r="CL23" t="str">
        <f>""</f>
        <v/>
      </c>
      <c r="CM23" t="str">
        <f>""</f>
        <v/>
      </c>
      <c r="CN23" t="str">
        <f>""</f>
        <v/>
      </c>
      <c r="CO23" t="str">
        <f>""</f>
        <v/>
      </c>
      <c r="CP23" t="str">
        <f>""</f>
        <v/>
      </c>
      <c r="CQ23" t="str">
        <f>""</f>
        <v/>
      </c>
      <c r="CR23" t="str">
        <f>""</f>
        <v/>
      </c>
      <c r="CS23" t="str">
        <f>""</f>
        <v/>
      </c>
      <c r="CT23" t="str">
        <f>""</f>
        <v/>
      </c>
      <c r="CU23" t="str">
        <f>""</f>
        <v/>
      </c>
      <c r="CV23" t="str">
        <f>""</f>
        <v/>
      </c>
      <c r="CW23" t="str">
        <f>""</f>
        <v/>
      </c>
      <c r="CX23" t="str">
        <f>""</f>
        <v/>
      </c>
      <c r="CY23" t="str">
        <f>""</f>
        <v/>
      </c>
      <c r="CZ23" t="str">
        <f>""</f>
        <v/>
      </c>
      <c r="DA23" t="str">
        <f>""</f>
        <v/>
      </c>
      <c r="DB23" t="str">
        <f>""</f>
        <v/>
      </c>
      <c r="DC23" t="str">
        <f>""</f>
        <v/>
      </c>
      <c r="DD23" t="str">
        <f>""</f>
        <v/>
      </c>
      <c r="DE23" t="str">
        <f>""</f>
        <v/>
      </c>
      <c r="DF23" t="str">
        <f>""</f>
        <v/>
      </c>
      <c r="DG23" t="str">
        <f>""</f>
        <v/>
      </c>
      <c r="DH23" t="str">
        <f>""</f>
        <v/>
      </c>
      <c r="DI23" t="str">
        <f>""</f>
        <v/>
      </c>
      <c r="DJ23" t="str">
        <f>""</f>
        <v/>
      </c>
      <c r="DK23" t="str">
        <f>""</f>
        <v/>
      </c>
      <c r="DL23" t="str">
        <f>""</f>
        <v/>
      </c>
      <c r="DM23" t="str">
        <f>""</f>
        <v/>
      </c>
      <c r="DN23" t="str">
        <f>""</f>
        <v/>
      </c>
      <c r="DO23" t="str">
        <f>""</f>
        <v/>
      </c>
      <c r="DP23" t="str">
        <f>""</f>
        <v/>
      </c>
      <c r="DQ23" t="str">
        <f>""</f>
        <v/>
      </c>
      <c r="DR23" t="str">
        <f>""</f>
        <v/>
      </c>
      <c r="DS23" t="str">
        <f>""</f>
        <v/>
      </c>
      <c r="DT23" t="str">
        <f>""</f>
        <v/>
      </c>
      <c r="DU23" t="str">
        <f>""</f>
        <v/>
      </c>
    </row>
    <row r="24" spans="1:125">
      <c r="A24" t="str">
        <f>"Mortgage Banking Revenue"</f>
        <v>Mortgage Banking Revenue</v>
      </c>
      <c r="B24" t="str">
        <f>""</f>
        <v/>
      </c>
      <c r="E24" t="str">
        <f>"Sum"</f>
        <v>Sum</v>
      </c>
      <c r="F24">
        <f ca="1">IF(ISERROR(IF(SUM($F$25:$F$44) = 0, "", SUM($F$25:$F$44))), "", (IF(SUM($F$25:$F$44) = 0, "", SUM($F$25:$F$44))))</f>
        <v>1341</v>
      </c>
      <c r="G24">
        <f ca="1">IF(ISERROR(IF(SUM($G$25:$G$44) = 0, "", SUM($G$25:$G$44))), "", (IF(SUM($G$25:$G$44) = 0, "", SUM($G$25:$G$44))))</f>
        <v>1449</v>
      </c>
      <c r="H24">
        <f ca="1">IF(ISERROR(IF(SUM($H$25:$H$44) = 0, "", SUM($H$25:$H$44))), "", (IF(SUM($H$25:$H$44) = 0, "", SUM($H$25:$H$44))))</f>
        <v>1333</v>
      </c>
      <c r="I24">
        <f ca="1">IF(ISERROR(IF(SUM($I$25:$I$44) = 0, "", SUM($I$25:$I$44))), "", (IF(SUM($I$25:$I$44) = 0, "", SUM($I$25:$I$44))))</f>
        <v>1229</v>
      </c>
      <c r="J24">
        <f ca="1">IF(ISERROR(IF(SUM($J$25:$J$44) = 0, "", SUM($J$25:$J$44))), "", (IF(SUM($J$25:$J$44) = 0, "", SUM($J$25:$J$44))))</f>
        <v>1145</v>
      </c>
      <c r="K24">
        <f ca="1">IF(ISERROR(IF(SUM($K$25:$K$44) = 0, "", SUM($K$25:$K$44))), "", (IF(SUM($K$25:$K$44) = 0, "", SUM($K$25:$K$44))))</f>
        <v>1377.4780000000001</v>
      </c>
      <c r="L24">
        <f ca="1">IF(ISERROR(IF(SUM($L$25:$L$44) = 0, "", SUM($L$25:$L$44))), "", (IF(SUM($L$25:$L$44) = 0, "", SUM($L$25:$L$44))))</f>
        <v>1131.1120000000001</v>
      </c>
      <c r="M24">
        <f ca="1">IF(ISERROR(IF(SUM($M$25:$M$44) = 0, "", SUM($M$25:$M$44))), "", (IF(SUM($M$25:$M$44) = 0, "", SUM($M$25:$M$44))))</f>
        <v>1193.9850000000001</v>
      </c>
      <c r="N24">
        <f ca="1">IF(ISERROR(IF(SUM($N$25:$N$44) = 0, "", SUM($N$25:$N$44))), "", (IF(SUM($N$25:$N$44) = 0, "", SUM($N$25:$N$44))))</f>
        <v>844.52099999999996</v>
      </c>
      <c r="O24">
        <f ca="1">IF(ISERROR(IF(SUM($O$25:$O$44) = 0, "", SUM($O$25:$O$44))), "", (IF(SUM($O$25:$O$44) = 0, "", SUM($O$25:$O$44))))</f>
        <v>1279.0409999999999</v>
      </c>
      <c r="P24">
        <f ca="1">IF(ISERROR(IF(SUM($P$25:$P$44) = 0, "", SUM($P$25:$P$44))), "", (IF(SUM($P$25:$P$44) = 0, "", SUM($P$25:$P$44))))</f>
        <v>1332.9259999999999</v>
      </c>
      <c r="Q24">
        <f ca="1">IF(ISERROR(IF(SUM($Q$25:$Q$44) = 0, "", SUM($Q$25:$Q$44))), "", (IF(SUM($Q$25:$Q$44) = 0, "", SUM($Q$25:$Q$44))))</f>
        <v>1949.1480000000001</v>
      </c>
      <c r="R24">
        <f ca="1">IF(ISERROR(IF(SUM($R$25:$R$44) = 0, "", SUM($R$25:$R$44))), "", (IF(SUM($R$25:$R$44) = 0, "", SUM($R$25:$R$44))))</f>
        <v>2401.2669999999998</v>
      </c>
      <c r="S24">
        <f ca="1">IF(ISERROR(IF(SUM($S$25:$S$44) = 0, "", SUM($S$25:$S$44))), "", (IF(SUM($S$25:$S$44) = 0, "", SUM($S$25:$S$44))))</f>
        <v>3221.9949999999999</v>
      </c>
      <c r="T24">
        <f ca="1">IF(ISERROR(IF(SUM($T$25:$T$44) = 0, "", SUM($T$25:$T$44))), "", (IF(SUM($T$25:$T$44) = 0, "", SUM($T$25:$T$44))))</f>
        <v>2984.3130000000001</v>
      </c>
      <c r="U24">
        <f ca="1">IF(ISERROR(IF(SUM($U$25:$U$44) = 0, "", SUM($U$25:$U$44))), "", (IF(SUM($U$25:$U$44) = 0, "", SUM($U$25:$U$44))))</f>
        <v>3241.7539999999999</v>
      </c>
      <c r="V24">
        <f ca="1">IF(ISERROR(IF(SUM($V$25:$V$44) = 0, "", SUM($V$25:$V$44))), "", (IF(SUM($V$25:$V$44) = 0, "", SUM($V$25:$V$44))))</f>
        <v>3083.4409999999998</v>
      </c>
      <c r="W24">
        <f ca="1">IF(ISERROR(IF(SUM($W$25:$W$44) = 0, "", SUM($W$25:$W$44))), "", (IF(SUM($W$25:$W$44) = 0, "", SUM($W$25:$W$44))))</f>
        <v>4385.2669999999998</v>
      </c>
      <c r="X24">
        <f ca="1">IF(ISERROR(IF(SUM($X$25:$X$44) = 0, "", SUM($X$25:$X$44))), "", (IF(SUM($X$25:$X$44) = 0, "", SUM($X$25:$X$44))))</f>
        <v>3141.0239999999999</v>
      </c>
      <c r="Y24">
        <f ca="1">IF(ISERROR(IF(SUM($Y$25:$Y$44) = 0, "", SUM($Y$25:$Y$44))), "", (IF(SUM($Y$25:$Y$44) = 0, "", SUM($Y$25:$Y$44))))</f>
        <v>2101.9090000000001</v>
      </c>
      <c r="Z24">
        <f ca="1">IF(ISERROR(IF(SUM($Z$25:$Z$44) = 0, "", SUM($Z$25:$Z$44))), "", (IF(SUM($Z$25:$Z$44) = 0, "", SUM($Z$25:$Z$44))))</f>
        <v>1578.134</v>
      </c>
      <c r="AA24">
        <f ca="1">IF(ISERROR(IF(SUM($AA$25:$AA$44) = 0, "", SUM($AA$25:$AA$44))), "", (IF(SUM($AA$25:$AA$44) = 0, "", SUM($AA$25:$AA$44))))</f>
        <v>2314.0039999999999</v>
      </c>
      <c r="AB24">
        <f ca="1">IF(ISERROR(IF(SUM($AB$25:$AB$44) = 0, "", SUM($AB$25:$AB$44))), "", (IF(SUM($AB$25:$AB$44) = 0, "", SUM($AB$25:$AB$44))))</f>
        <v>1711.3209999999999</v>
      </c>
      <c r="AC24">
        <f ca="1">IF(ISERROR(IF(SUM($AC$25:$AC$44) = 0, "", SUM($AC$25:$AC$44))), "", (IF(SUM($AC$25:$AC$44) = 0, "", SUM($AC$25:$AC$44))))</f>
        <v>1637.3110000000001</v>
      </c>
      <c r="AD24">
        <f ca="1">IF(ISERROR(IF(SUM($AD$25:$AD$44) = 0, "", SUM($AD$25:$AD$44))), "", (IF(SUM($AD$25:$AD$44) = 0, "", SUM($AD$25:$AD$44))))</f>
        <v>1208.229</v>
      </c>
      <c r="AE24">
        <f ca="1">IF(ISERROR(IF(SUM($AE$25:$AE$44) = 0, "", SUM($AE$25:$AE$44))), "", (IF(SUM($AE$25:$AE$44) = 0, "", SUM($AE$25:$AE$44))))</f>
        <v>1695.4079999999999</v>
      </c>
      <c r="AF24">
        <f ca="1">IF(ISERROR(IF(SUM($AF$25:$AF$44) = 0, "", SUM($AF$25:$AF$44))), "", (IF(SUM($AF$25:$AF$44) = 0, "", SUM($AF$25:$AF$44))))</f>
        <v>1707.499</v>
      </c>
      <c r="AG24">
        <f ca="1">IF(ISERROR(IF(SUM($AG$25:$AG$44) = 0, "", SUM($AG$25:$AG$44))), "", (IF(SUM($AG$25:$AG$44) = 0, "", SUM($AG$25:$AG$44))))</f>
        <v>2018.306</v>
      </c>
      <c r="AH24">
        <f ca="1">IF(ISERROR(IF(SUM($AH$25:$AH$44) = 0, "", SUM($AH$25:$AH$44))), "", (IF(SUM($AH$25:$AH$44) = 0, "", SUM($AH$25:$AH$44))))</f>
        <v>1866.2350000000001</v>
      </c>
      <c r="AI24">
        <f ca="1">IF(ISERROR(IF(SUM($AI$25:$AI$44) = 0, "", SUM($AI$25:$AI$44))), "", (IF(SUM($AI$25:$AI$44) = 0, "", SUM($AI$25:$AI$44))))</f>
        <v>2167.223</v>
      </c>
      <c r="AJ24">
        <f ca="1">IF(ISERROR(IF(SUM($AJ$25:$AJ$44) = 0, "", SUM($AJ$25:$AJ$44))), "", (IF(SUM($AJ$25:$AJ$44) = 0, "", SUM($AJ$25:$AJ$44))))</f>
        <v>2219.3589999999999</v>
      </c>
      <c r="AK24">
        <f ca="1">IF(ISERROR(IF(SUM($AK$25:$AK$44) = 0, "", SUM($AK$25:$AK$44))), "", (IF(SUM($AK$25:$AK$44) = 0, "", SUM($AK$25:$AK$44))))</f>
        <v>2427.4560000000001</v>
      </c>
      <c r="AL24">
        <f ca="1">IF(ISERROR(IF(SUM($AL$25:$AL$44) = 0, "", SUM($AL$25:$AL$44))), "", (IF(SUM($AL$25:$AL$44) = 0, "", SUM($AL$25:$AL$44))))</f>
        <v>3225.2849999999999</v>
      </c>
      <c r="AM24">
        <f ca="1">IF(ISERROR(IF(SUM($AM$25:$AM$44) = 0, "", SUM($AM$25:$AM$44))), "", (IF(SUM($AM$25:$AM$44) = 0, "", SUM($AM$25:$AM$44))))</f>
        <v>3816.2749999999996</v>
      </c>
      <c r="AN24">
        <f ca="1">IF(ISERROR(IF(SUM($AN$25:$AN$44) = 0, "", SUM($AN$25:$AN$44))), "", (IF(SUM($AN$25:$AN$44) = 0, "", SUM($AN$25:$AN$44))))</f>
        <v>3205.931</v>
      </c>
      <c r="AO24">
        <f ca="1">IF(ISERROR(IF(SUM($AO$25:$AO$44) = 0, "", SUM($AO$25:$AO$44))), "", (IF(SUM($AO$25:$AO$44) = 0, "", SUM($AO$25:$AO$44))))</f>
        <v>3316.7440000000001</v>
      </c>
      <c r="AP24">
        <f ca="1">IF(ISERROR(IF(SUM($AP$25:$AP$44) = 0, "", SUM($AP$25:$AP$44))), "", (IF(SUM($AP$25:$AP$44) = 0, "", SUM($AP$25:$AP$44))))</f>
        <v>3170.183</v>
      </c>
      <c r="AQ24">
        <f ca="1">IF(ISERROR(IF(SUM($AQ$25:$AQ$44) = 0, "", SUM($AQ$25:$AQ$44))), "", (IF(SUM($AQ$25:$AQ$44) = 0, "", SUM($AQ$25:$AQ$44))))</f>
        <v>3166.4650000000001</v>
      </c>
      <c r="AR24">
        <f ca="1">IF(ISERROR(IF(SUM($AR$25:$AR$44) = 0, "", SUM($AR$25:$AR$44))), "", (IF(SUM($AR$25:$AR$44) = 0, "", SUM($AR$25:$AR$44))))</f>
        <v>4368.0879999999997</v>
      </c>
      <c r="AS24">
        <f ca="1">IF(ISERROR(IF(SUM($AS$25:$AS$44) = 0, "", SUM($AS$25:$AS$44))), "", (IF(SUM($AS$25:$AS$44) = 0, "", SUM($AS$25:$AS$44))))</f>
        <v>3764.9679999999998</v>
      </c>
      <c r="AT24">
        <f ca="1">IF(ISERROR(IF(SUM($AT$25:$AT$44) = 0, "", SUM($AT$25:$AT$44))), "", (IF(SUM($AT$25:$AT$44) = 0, "", SUM($AT$25:$AT$44))))</f>
        <v>3451.1509999999998</v>
      </c>
      <c r="AU24">
        <f ca="1">IF(ISERROR(IF(SUM($AU$25:$AU$44) = 0, "", SUM($AU$25:$AU$44))), "", (IF(SUM($AU$25:$AU$44) = 0, "", SUM($AU$25:$AU$44))))</f>
        <v>3574.1889999999999</v>
      </c>
      <c r="AV24">
        <f ca="1">IF(ISERROR(IF(SUM($AV$25:$AV$44) = 0, "", SUM($AV$25:$AV$44))), "", (IF(SUM($AV$25:$AV$44) = 0, "", SUM($AV$25:$AV$44))))</f>
        <v>4357.6639999999998</v>
      </c>
      <c r="AW24">
        <f ca="1">IF(ISERROR(IF(SUM($AW$25:$AW$44) = 0, "", SUM($AW$25:$AW$44))), "", (IF(SUM($AW$25:$AW$44) = 0, "", SUM($AW$25:$AW$44))))</f>
        <v>3195.748</v>
      </c>
      <c r="AX24">
        <f ca="1">IF(ISERROR(IF(SUM($AX$25:$AX$44) = 0, "", SUM($AX$25:$AX$44))), "", (IF(SUM($AX$25:$AX$44) = 0, "", SUM($AX$25:$AX$44))))</f>
        <v>4420.2489999999998</v>
      </c>
      <c r="AY24">
        <f ca="1">IF(ISERROR(IF(SUM($AY$25:$AY$44) = 0, "", SUM($AY$25:$AY$44))), "", (IF(SUM($AY$25:$AY$44) = 0, "", SUM($AY$25:$AY$44))))</f>
        <v>3978.5569999999998</v>
      </c>
      <c r="AZ24">
        <f ca="1">IF(ISERROR(IF(SUM($AZ$25:$AZ$44) = 0, "", SUM($AZ$25:$AZ$44))), "", (IF(SUM($AZ$25:$AZ$44) = 0, "", SUM($AZ$25:$AZ$44))))</f>
        <v>6990.1370000000006</v>
      </c>
      <c r="BA24">
        <f ca="1">IF(ISERROR(IF(SUM($BA$25:$BA$44) = 0, "", SUM($BA$25:$BA$44))), "", (IF(SUM($BA$25:$BA$44) = 0, "", SUM($BA$25:$BA$44))))</f>
        <v>6833.46</v>
      </c>
      <c r="BB24">
        <f ca="1">IF(ISERROR(IF(SUM($BB$25:$BB$44) = 0, "", SUM($BB$25:$BB$44))), "", (IF(SUM($BB$25:$BB$44) = 0, "", SUM($BB$25:$BB$44))))</f>
        <v>5839.8310000000001</v>
      </c>
      <c r="BC24">
        <f ca="1">IF(ISERROR(IF(SUM($BC$25:$BC$44) = 0, "", SUM($BC$25:$BC$44))), "", (IF(SUM($BC$25:$BC$44) = 0, "", SUM($BC$25:$BC$44))))</f>
        <v>8681.0069999999996</v>
      </c>
      <c r="BD24">
        <f ca="1">IF(ISERROR(IF(SUM($BD$25:$BD$44) = 0, "", SUM($BD$25:$BD$44))), "", (IF(SUM($BD$25:$BD$44) = 0, "", SUM($BD$25:$BD$44))))</f>
        <v>7764.1860000000006</v>
      </c>
      <c r="BE24">
        <f ca="1">IF(ISERROR(IF(SUM($BE$25:$BE$44) = 0, "", SUM($BE$25:$BE$44))), "", (IF(SUM($BE$25:$BE$44) = 0, "", SUM($BE$25:$BE$44))))</f>
        <v>7817.7749999999996</v>
      </c>
      <c r="BF24">
        <f ca="1">IF(ISERROR(IF(SUM($BF$25:$BF$44) = 0, "", SUM($BF$25:$BF$44))), "", (IF(SUM($BF$25:$BF$44) = 0, "", SUM($BF$25:$BF$44))))</f>
        <v>6105.3590000000004</v>
      </c>
      <c r="BG24">
        <f ca="1">IF(ISERROR(IF(SUM($BG$25:$BG$44) = 0, "", SUM($BG$25:$BG$44))), "", (IF(SUM($BG$25:$BG$44) = 0, "", SUM($BG$25:$BG$44))))</f>
        <v>5717.2060000000001</v>
      </c>
      <c r="BH24">
        <f ca="1">IF(ISERROR(IF(SUM($BH$25:$BH$44) = 0, "", SUM($BH$25:$BH$44))), "", (IF(SUM($BH$25:$BH$44) = 0, "", SUM($BH$25:$BH$44))))</f>
        <v>-9699.2400000000016</v>
      </c>
      <c r="BI24">
        <f ca="1">IF(ISERROR(IF(SUM($BI$25:$BI$44) = 0, "", SUM($BI$25:$BI$44))), "", (IF(SUM($BI$25:$BI$44) = 0, "", SUM($BI$25:$BI$44))))</f>
        <v>2882.7780000000002</v>
      </c>
      <c r="BJ24">
        <f ca="1">IF(ISERROR(IF(SUM($BJ$25:$BJ$44) = 0, "", SUM($BJ$25:$BJ$44))), "", (IF(SUM($BJ$25:$BJ$44) = 0, "", SUM($BJ$25:$BJ$44))))</f>
        <v>3828.5680000000002</v>
      </c>
      <c r="BK24">
        <f ca="1">IF(ISERROR(IF(SUM($BK$25:$BK$44) = 0, "", SUM($BK$25:$BK$44))), "", (IF(SUM($BK$25:$BK$44) = 0, "", SUM($BK$25:$BK$44))))</f>
        <v>6158.5619999999999</v>
      </c>
      <c r="BL24">
        <f ca="1">IF(ISERROR(IF(SUM($BL$25:$BL$44) = 0, "", SUM($BL$25:$BL$44))), "", (IF(SUM($BL$25:$BL$44) = 0, "", SUM($BL$25:$BL$44))))</f>
        <v>4638.1130000000003</v>
      </c>
      <c r="BM24">
        <f ca="1">IF(ISERROR(IF(SUM($BM$25:$BM$44) = 0, "", SUM($BM$25:$BM$44))), "", (IF(SUM($BM$25:$BM$44) = 0, "", SUM($BM$25:$BM$44))))</f>
        <v>872</v>
      </c>
      <c r="BN24">
        <f>1341</f>
        <v>1341</v>
      </c>
      <c r="BO24">
        <f>1449</f>
        <v>1449</v>
      </c>
      <c r="BP24">
        <f>1333</f>
        <v>1333</v>
      </c>
      <c r="BQ24">
        <f>1229</f>
        <v>1229</v>
      </c>
      <c r="BR24">
        <f>1145</f>
        <v>1145</v>
      </c>
      <c r="BS24">
        <f>1377.478</f>
        <v>1377.4780000000001</v>
      </c>
      <c r="BT24">
        <f>1131.112</f>
        <v>1131.1120000000001</v>
      </c>
      <c r="BU24">
        <f>1193.985</f>
        <v>1193.9849999999999</v>
      </c>
      <c r="BV24">
        <f>844.521</f>
        <v>844.52099999999996</v>
      </c>
      <c r="BW24">
        <f>1279.041</f>
        <v>1279.0409999999999</v>
      </c>
      <c r="BX24">
        <f>1332.926</f>
        <v>1332.9259999999999</v>
      </c>
      <c r="BY24">
        <f>1949.148</f>
        <v>1949.1479999999999</v>
      </c>
      <c r="BZ24">
        <f>2401.267</f>
        <v>2401.2669999999998</v>
      </c>
      <c r="CA24">
        <f>3221.995</f>
        <v>3221.9949999999999</v>
      </c>
      <c r="CB24">
        <f>2984.313</f>
        <v>2984.3130000000001</v>
      </c>
      <c r="CC24">
        <f>3241.754</f>
        <v>3241.7539999999999</v>
      </c>
      <c r="CD24">
        <f>3083.441</f>
        <v>3083.4409999999998</v>
      </c>
      <c r="CE24">
        <f>4385.267</f>
        <v>4385.2669999999998</v>
      </c>
      <c r="CF24">
        <f>3141.024</f>
        <v>3141.0239999999999</v>
      </c>
      <c r="CG24">
        <f>2101.909</f>
        <v>2101.9090000000001</v>
      </c>
      <c r="CH24">
        <f>1578.134</f>
        <v>1578.134</v>
      </c>
      <c r="CI24">
        <f>2314.004</f>
        <v>2314.0039999999999</v>
      </c>
      <c r="CJ24">
        <f>1711.321</f>
        <v>1711.3209999999999</v>
      </c>
      <c r="CK24">
        <f>1637.311</f>
        <v>1637.3109999999999</v>
      </c>
      <c r="CL24">
        <f>1208.229</f>
        <v>1208.229</v>
      </c>
      <c r="CM24">
        <f>1695.408</f>
        <v>1695.4079999999999</v>
      </c>
      <c r="CN24">
        <f>1707.499</f>
        <v>1707.499</v>
      </c>
      <c r="CO24">
        <f>2018.306</f>
        <v>2018.306</v>
      </c>
      <c r="CP24">
        <f>1866.235</f>
        <v>1866.2349999999999</v>
      </c>
      <c r="CQ24">
        <f>2167.223</f>
        <v>2167.223</v>
      </c>
      <c r="CR24">
        <f>2219.359</f>
        <v>2219.3589999999999</v>
      </c>
      <c r="CS24">
        <f>2427.456</f>
        <v>2427.4560000000001</v>
      </c>
      <c r="CT24">
        <f>3225.285</f>
        <v>3225.2849999999999</v>
      </c>
      <c r="CU24">
        <f>3816.275</f>
        <v>3816.2750000000001</v>
      </c>
      <c r="CV24">
        <f>3205.931</f>
        <v>3205.931</v>
      </c>
      <c r="CW24">
        <f>3316.744</f>
        <v>3316.7440000000001</v>
      </c>
      <c r="CX24">
        <f>3170.183</f>
        <v>3170.183</v>
      </c>
      <c r="CY24">
        <f>3166.465</f>
        <v>3166.4650000000001</v>
      </c>
      <c r="CZ24">
        <f>4368.088</f>
        <v>4368.0879999999997</v>
      </c>
      <c r="DA24">
        <f>3764.968</f>
        <v>3764.9679999999998</v>
      </c>
      <c r="DB24">
        <f>3451.151</f>
        <v>3451.1509999999998</v>
      </c>
      <c r="DC24">
        <f>3574.189</f>
        <v>3574.1889999999999</v>
      </c>
      <c r="DD24">
        <f>4357.664</f>
        <v>4357.6639999999998</v>
      </c>
      <c r="DE24">
        <f>3195.748</f>
        <v>3195.748</v>
      </c>
      <c r="DF24">
        <f>4420.249</f>
        <v>4420.2489999999998</v>
      </c>
      <c r="DG24">
        <f>3978.557</f>
        <v>3978.5569999999998</v>
      </c>
      <c r="DH24">
        <f>6990.137</f>
        <v>6990.1369999999997</v>
      </c>
      <c r="DI24">
        <f>6833.46</f>
        <v>6833.46</v>
      </c>
      <c r="DJ24">
        <f>5839.831</f>
        <v>5839.8310000000001</v>
      </c>
      <c r="DK24">
        <f>8681.007</f>
        <v>8681.0069999999996</v>
      </c>
      <c r="DL24">
        <f>7764.186</f>
        <v>7764.1859999999997</v>
      </c>
      <c r="DM24">
        <f>7817.775</f>
        <v>7817.7749999999996</v>
      </c>
      <c r="DN24">
        <f>6105.359</f>
        <v>6105.3590000000004</v>
      </c>
      <c r="DO24">
        <f>5717.206</f>
        <v>5717.2060000000001</v>
      </c>
      <c r="DP24">
        <f>-9699.24</f>
        <v>-9699.24</v>
      </c>
      <c r="DQ24">
        <f>2882.778</f>
        <v>2882.7779999999998</v>
      </c>
      <c r="DR24">
        <f>3828.568</f>
        <v>3828.5680000000002</v>
      </c>
      <c r="DS24">
        <f>6158.562</f>
        <v>6158.5619999999999</v>
      </c>
      <c r="DT24">
        <f>4638.113</f>
        <v>4638.1130000000003</v>
      </c>
      <c r="DU24">
        <f>872</f>
        <v>872</v>
      </c>
    </row>
    <row r="25" spans="1:125">
      <c r="A25" t="str">
        <f>"    Bank of America Corp"</f>
        <v xml:space="preserve">    Bank of America Corp</v>
      </c>
      <c r="B25" t="str">
        <f>"BAC US Equity"</f>
        <v>BAC US Equity</v>
      </c>
      <c r="C25" t="str">
        <f t="shared" ref="C25:C44" si="1">"A0621"</f>
        <v>A0621</v>
      </c>
      <c r="D25" t="str">
        <f t="shared" ref="D25:D44" si="2">"ARD_MORTGAGE_BANKING_REVENUE"</f>
        <v>ARD_MORTGAGE_BANKING_REVENUE</v>
      </c>
      <c r="E25" t="str">
        <f t="shared" ref="E25:E44" si="3">"Dynamic"</f>
        <v>Dynamic</v>
      </c>
      <c r="F25" t="str">
        <f ca="1">IF(AND(ISNUMBER($F$227),$B$185=1),$F$227,HLOOKUP(INDIRECT(ADDRESS(2,COLUMN())),OFFSET($BN$2,0,0,ROW()-1,60),ROW()-1,FALSE))</f>
        <v/>
      </c>
      <c r="G25" t="str">
        <f ca="1">IF(AND(ISNUMBER($G$227),$B$185=1),$G$227,HLOOKUP(INDIRECT(ADDRESS(2,COLUMN())),OFFSET($BN$2,0,0,ROW()-1,60),ROW()-1,FALSE))</f>
        <v/>
      </c>
      <c r="H25" t="str">
        <f ca="1">IF(AND(ISNUMBER($H$227),$B$185=1),$H$227,HLOOKUP(INDIRECT(ADDRESS(2,COLUMN())),OFFSET($BN$2,0,0,ROW()-1,60),ROW()-1,FALSE))</f>
        <v/>
      </c>
      <c r="I25" t="str">
        <f ca="1">IF(AND(ISNUMBER($I$227),$B$185=1),$I$227,HLOOKUP(INDIRECT(ADDRESS(2,COLUMN())),OFFSET($BN$2,0,0,ROW()-1,60),ROW()-1,FALSE))</f>
        <v/>
      </c>
      <c r="J25" t="str">
        <f ca="1">IF(AND(ISNUMBER($J$227),$B$185=1),$J$227,HLOOKUP(INDIRECT(ADDRESS(2,COLUMN())),OFFSET($BN$2,0,0,ROW()-1,60),ROW()-1,FALSE))</f>
        <v/>
      </c>
      <c r="K25" t="str">
        <f ca="1">IF(AND(ISNUMBER($K$227),$B$185=1),$K$227,HLOOKUP(INDIRECT(ADDRESS(2,COLUMN())),OFFSET($BN$2,0,0,ROW()-1,60),ROW()-1,FALSE))</f>
        <v/>
      </c>
      <c r="L25" t="str">
        <f ca="1">IF(AND(ISNUMBER($L$227),$B$185=1),$L$227,HLOOKUP(INDIRECT(ADDRESS(2,COLUMN())),OFFSET($BN$2,0,0,ROW()-1,60),ROW()-1,FALSE))</f>
        <v/>
      </c>
      <c r="M25" t="str">
        <f ca="1">IF(AND(ISNUMBER($M$227),$B$185=1),$M$227,HLOOKUP(INDIRECT(ADDRESS(2,COLUMN())),OFFSET($BN$2,0,0,ROW()-1,60),ROW()-1,FALSE))</f>
        <v/>
      </c>
      <c r="N25" t="str">
        <f ca="1">IF(AND(ISNUMBER($N$227),$B$185=1),$N$227,HLOOKUP(INDIRECT(ADDRESS(2,COLUMN())),OFFSET($BN$2,0,0,ROW()-1,60),ROW()-1,FALSE))</f>
        <v/>
      </c>
      <c r="O25" t="str">
        <f ca="1">IF(AND(ISNUMBER($O$227),$B$185=1),$O$227,HLOOKUP(INDIRECT(ADDRESS(2,COLUMN())),OFFSET($BN$2,0,0,ROW()-1,60),ROW()-1,FALSE))</f>
        <v/>
      </c>
      <c r="P25" t="str">
        <f ca="1">IF(AND(ISNUMBER($P$227),$B$185=1),$P$227,HLOOKUP(INDIRECT(ADDRESS(2,COLUMN())),OFFSET($BN$2,0,0,ROW()-1,60),ROW()-1,FALSE))</f>
        <v/>
      </c>
      <c r="Q25" t="str">
        <f ca="1">IF(AND(ISNUMBER($Q$227),$B$185=1),$Q$227,HLOOKUP(INDIRECT(ADDRESS(2,COLUMN())),OFFSET($BN$2,0,0,ROW()-1,60),ROW()-1,FALSE))</f>
        <v/>
      </c>
      <c r="R25" t="str">
        <f ca="1">IF(AND(ISNUMBER($R$227),$B$185=1),$R$227,HLOOKUP(INDIRECT(ADDRESS(2,COLUMN())),OFFSET($BN$2,0,0,ROW()-1,60),ROW()-1,FALSE))</f>
        <v/>
      </c>
      <c r="S25" t="str">
        <f ca="1">IF(AND(ISNUMBER($S$227),$B$185=1),$S$227,HLOOKUP(INDIRECT(ADDRESS(2,COLUMN())),OFFSET($BN$2,0,0,ROW()-1,60),ROW()-1,FALSE))</f>
        <v/>
      </c>
      <c r="T25" t="str">
        <f ca="1">IF(AND(ISNUMBER($T$227),$B$185=1),$T$227,HLOOKUP(INDIRECT(ADDRESS(2,COLUMN())),OFFSET($BN$2,0,0,ROW()-1,60),ROW()-1,FALSE))</f>
        <v/>
      </c>
      <c r="U25" t="str">
        <f ca="1">IF(AND(ISNUMBER($U$227),$B$185=1),$U$227,HLOOKUP(INDIRECT(ADDRESS(2,COLUMN())),OFFSET($BN$2,0,0,ROW()-1,60),ROW()-1,FALSE))</f>
        <v/>
      </c>
      <c r="V25" t="str">
        <f ca="1">IF(AND(ISNUMBER($V$227),$B$185=1),$V$227,HLOOKUP(INDIRECT(ADDRESS(2,COLUMN())),OFFSET($BN$2,0,0,ROW()-1,60),ROW()-1,FALSE))</f>
        <v/>
      </c>
      <c r="W25" t="str">
        <f ca="1">IF(AND(ISNUMBER($W$227),$B$185=1),$W$227,HLOOKUP(INDIRECT(ADDRESS(2,COLUMN())),OFFSET($BN$2,0,0,ROW()-1,60),ROW()-1,FALSE))</f>
        <v/>
      </c>
      <c r="X25" t="str">
        <f ca="1">IF(AND(ISNUMBER($X$227),$B$185=1),$X$227,HLOOKUP(INDIRECT(ADDRESS(2,COLUMN())),OFFSET($BN$2,0,0,ROW()-1,60),ROW()-1,FALSE))</f>
        <v/>
      </c>
      <c r="Y25" t="str">
        <f ca="1">IF(AND(ISNUMBER($Y$227),$B$185=1),$Y$227,HLOOKUP(INDIRECT(ADDRESS(2,COLUMN())),OFFSET($BN$2,0,0,ROW()-1,60),ROW()-1,FALSE))</f>
        <v/>
      </c>
      <c r="Z25" t="str">
        <f ca="1">IF(AND(ISNUMBER($Z$227),$B$185=1),$Z$227,HLOOKUP(INDIRECT(ADDRESS(2,COLUMN())),OFFSET($BN$2,0,0,ROW()-1,60),ROW()-1,FALSE))</f>
        <v/>
      </c>
      <c r="AA25" t="str">
        <f ca="1">IF(AND(ISNUMBER($AA$227),$B$185=1),$AA$227,HLOOKUP(INDIRECT(ADDRESS(2,COLUMN())),OFFSET($BN$2,0,0,ROW()-1,60),ROW()-1,FALSE))</f>
        <v/>
      </c>
      <c r="AB25" t="str">
        <f ca="1">IF(AND(ISNUMBER($AB$227),$B$185=1),$AB$227,HLOOKUP(INDIRECT(ADDRESS(2,COLUMN())),OFFSET($BN$2,0,0,ROW()-1,60),ROW()-1,FALSE))</f>
        <v/>
      </c>
      <c r="AC25" t="str">
        <f ca="1">IF(AND(ISNUMBER($AC$227),$B$185=1),$AC$227,HLOOKUP(INDIRECT(ADDRESS(2,COLUMN())),OFFSET($BN$2,0,0,ROW()-1,60),ROW()-1,FALSE))</f>
        <v/>
      </c>
      <c r="AD25" t="str">
        <f ca="1">IF(AND(ISNUMBER($AD$227),$B$185=1),$AD$227,HLOOKUP(INDIRECT(ADDRESS(2,COLUMN())),OFFSET($BN$2,0,0,ROW()-1,60),ROW()-1,FALSE))</f>
        <v/>
      </c>
      <c r="AE25" t="str">
        <f ca="1">IF(AND(ISNUMBER($AE$227),$B$185=1),$AE$227,HLOOKUP(INDIRECT(ADDRESS(2,COLUMN())),OFFSET($BN$2,0,0,ROW()-1,60),ROW()-1,FALSE))</f>
        <v/>
      </c>
      <c r="AF25" t="str">
        <f ca="1">IF(AND(ISNUMBER($AF$227),$B$185=1),$AF$227,HLOOKUP(INDIRECT(ADDRESS(2,COLUMN())),OFFSET($BN$2,0,0,ROW()-1,60),ROW()-1,FALSE))</f>
        <v/>
      </c>
      <c r="AG25" t="str">
        <f ca="1">IF(AND(ISNUMBER($AG$227),$B$185=1),$AG$227,HLOOKUP(INDIRECT(ADDRESS(2,COLUMN())),OFFSET($BN$2,0,0,ROW()-1,60),ROW()-1,FALSE))</f>
        <v/>
      </c>
      <c r="AH25" t="str">
        <f ca="1">IF(AND(ISNUMBER($AH$227),$B$185=1),$AH$227,HLOOKUP(INDIRECT(ADDRESS(2,COLUMN())),OFFSET($BN$2,0,0,ROW()-1,60),ROW()-1,FALSE))</f>
        <v/>
      </c>
      <c r="AI25" t="str">
        <f ca="1">IF(AND(ISNUMBER($AI$227),$B$185=1),$AI$227,HLOOKUP(INDIRECT(ADDRESS(2,COLUMN())),OFFSET($BN$2,0,0,ROW()-1,60),ROW()-1,FALSE))</f>
        <v/>
      </c>
      <c r="AJ25" t="str">
        <f ca="1">IF(AND(ISNUMBER($AJ$227),$B$185=1),$AJ$227,HLOOKUP(INDIRECT(ADDRESS(2,COLUMN())),OFFSET($BN$2,0,0,ROW()-1,60),ROW()-1,FALSE))</f>
        <v/>
      </c>
      <c r="AK25">
        <f ca="1">IF(AND(ISNUMBER($AK$227),$B$185=1),$AK$227,HLOOKUP(INDIRECT(ADDRESS(2,COLUMN())),OFFSET($BN$2,0,0,ROW()-1,60),ROW()-1,FALSE))</f>
        <v>122</v>
      </c>
      <c r="AL25">
        <f ca="1">IF(AND(ISNUMBER($AL$227),$B$185=1),$AL$227,HLOOKUP(INDIRECT(ADDRESS(2,COLUMN())),OFFSET($BN$2,0,0,ROW()-1,60),ROW()-1,FALSE))</f>
        <v>519</v>
      </c>
      <c r="AM25">
        <f ca="1">IF(AND(ISNUMBER($AM$227),$B$185=1),$AM$227,HLOOKUP(INDIRECT(ADDRESS(2,COLUMN())),OFFSET($BN$2,0,0,ROW()-1,60),ROW()-1,FALSE))</f>
        <v>589</v>
      </c>
      <c r="AN25">
        <f ca="1">IF(AND(ISNUMBER($AN$227),$B$185=1),$AN$227,HLOOKUP(INDIRECT(ADDRESS(2,COLUMN())),OFFSET($BN$2,0,0,ROW()-1,60),ROW()-1,FALSE))</f>
        <v>312</v>
      </c>
      <c r="AO25">
        <f ca="1">IF(AND(ISNUMBER($AO$227),$B$185=1),$AO$227,HLOOKUP(INDIRECT(ADDRESS(2,COLUMN())),OFFSET($BN$2,0,0,ROW()-1,60),ROW()-1,FALSE))</f>
        <v>433</v>
      </c>
      <c r="AP25">
        <f ca="1">IF(AND(ISNUMBER($AP$227),$B$185=1),$AP$227,HLOOKUP(INDIRECT(ADDRESS(2,COLUMN())),OFFSET($BN$2,0,0,ROW()-1,60),ROW()-1,FALSE))</f>
        <v>262</v>
      </c>
      <c r="AQ25">
        <f ca="1">IF(AND(ISNUMBER($AQ$227),$B$185=1),$AQ$227,HLOOKUP(INDIRECT(ADDRESS(2,COLUMN())),OFFSET($BN$2,0,0,ROW()-1,60),ROW()-1,FALSE))</f>
        <v>407</v>
      </c>
      <c r="AR25">
        <f ca="1">IF(AND(ISNUMBER($AR$227),$B$185=1),$AR$227,HLOOKUP(INDIRECT(ADDRESS(2,COLUMN())),OFFSET($BN$2,0,0,ROW()-1,60),ROW()-1,FALSE))</f>
        <v>1001</v>
      </c>
      <c r="AS25">
        <f ca="1">IF(AND(ISNUMBER($AS$227),$B$185=1),$AS$227,HLOOKUP(INDIRECT(ADDRESS(2,COLUMN())),OFFSET($BN$2,0,0,ROW()-1,60),ROW()-1,FALSE))</f>
        <v>694</v>
      </c>
      <c r="AT25">
        <f ca="1">IF(AND(ISNUMBER($AT$227),$B$185=1),$AT$227,HLOOKUP(INDIRECT(ADDRESS(2,COLUMN())),OFFSET($BN$2,0,0,ROW()-1,60),ROW()-1,FALSE))</f>
        <v>352</v>
      </c>
      <c r="AU25">
        <f ca="1">IF(AND(ISNUMBER($AU$227),$B$185=1),$AU$227,HLOOKUP(INDIRECT(ADDRESS(2,COLUMN())),OFFSET($BN$2,0,0,ROW()-1,60),ROW()-1,FALSE))</f>
        <v>272</v>
      </c>
      <c r="AV25">
        <f ca="1">IF(AND(ISNUMBER($AV$227),$B$185=1),$AV$227,HLOOKUP(INDIRECT(ADDRESS(2,COLUMN())),OFFSET($BN$2,0,0,ROW()-1,60),ROW()-1,FALSE))</f>
        <v>527</v>
      </c>
      <c r="AW25">
        <f ca="1">IF(AND(ISNUMBER($AW$227),$B$185=1),$AW$227,HLOOKUP(INDIRECT(ADDRESS(2,COLUMN())),OFFSET($BN$2,0,0,ROW()-1,60),ROW()-1,FALSE))</f>
        <v>412</v>
      </c>
      <c r="AX25">
        <f ca="1">IF(AND(ISNUMBER($AX$227),$B$185=1),$AX$227,HLOOKUP(INDIRECT(ADDRESS(2,COLUMN())),OFFSET($BN$2,0,0,ROW()-1,60),ROW()-1,FALSE))</f>
        <v>848</v>
      </c>
      <c r="AY25">
        <f ca="1">IF(AND(ISNUMBER($AY$227),$B$185=1),$AY$227,HLOOKUP(INDIRECT(ADDRESS(2,COLUMN())),OFFSET($BN$2,0,0,ROW()-1,60),ROW()-1,FALSE))</f>
        <v>585</v>
      </c>
      <c r="AZ25">
        <f ca="1">IF(AND(ISNUMBER($AZ$227),$B$185=1),$AZ$227,HLOOKUP(INDIRECT(ADDRESS(2,COLUMN())),OFFSET($BN$2,0,0,ROW()-1,60),ROW()-1,FALSE))</f>
        <v>1178</v>
      </c>
      <c r="BA25">
        <f ca="1">IF(AND(ISNUMBER($BA$227),$B$185=1),$BA$227,HLOOKUP(INDIRECT(ADDRESS(2,COLUMN())),OFFSET($BN$2,0,0,ROW()-1,60),ROW()-1,FALSE))</f>
        <v>1263</v>
      </c>
      <c r="BB25">
        <f ca="1">IF(AND(ISNUMBER($BB$227),$B$185=1),$BB$227,HLOOKUP(INDIRECT(ADDRESS(2,COLUMN())),OFFSET($BN$2,0,0,ROW()-1,60),ROW()-1,FALSE))</f>
        <v>-540</v>
      </c>
      <c r="BC25">
        <f ca="1">IF(AND(ISNUMBER($BC$227),$B$185=1),$BC$227,HLOOKUP(INDIRECT(ADDRESS(2,COLUMN())),OFFSET($BN$2,0,0,ROW()-1,60),ROW()-1,FALSE))</f>
        <v>2019</v>
      </c>
      <c r="BD25">
        <f ca="1">IF(AND(ISNUMBER($BD$227),$B$185=1),$BD$227,HLOOKUP(INDIRECT(ADDRESS(2,COLUMN())),OFFSET($BN$2,0,0,ROW()-1,60),ROW()-1,FALSE))</f>
        <v>1659</v>
      </c>
      <c r="BE25">
        <f ca="1">IF(AND(ISNUMBER($BE$227),$B$185=1),$BE$227,HLOOKUP(INDIRECT(ADDRESS(2,COLUMN())),OFFSET($BN$2,0,0,ROW()-1,60),ROW()-1,FALSE))</f>
        <v>1612</v>
      </c>
      <c r="BF25">
        <f ca="1">IF(AND(ISNUMBER($BF$227),$B$185=1),$BF$227,HLOOKUP(INDIRECT(ADDRESS(2,COLUMN())),OFFSET($BN$2,0,0,ROW()-1,60),ROW()-1,FALSE))</f>
        <v>2119</v>
      </c>
      <c r="BG25">
        <f ca="1">IF(AND(ISNUMBER($BG$227),$B$185=1),$BG$227,HLOOKUP(INDIRECT(ADDRESS(2,COLUMN())),OFFSET($BN$2,0,0,ROW()-1,60),ROW()-1,FALSE))</f>
        <v>1617</v>
      </c>
      <c r="BH25">
        <f ca="1">IF(AND(ISNUMBER($BH$227),$B$185=1),$BH$227,HLOOKUP(INDIRECT(ADDRESS(2,COLUMN())),OFFSET($BN$2,0,0,ROW()-1,60),ROW()-1,FALSE))</f>
        <v>-13196</v>
      </c>
      <c r="BI25">
        <f ca="1">IF(AND(ISNUMBER($BI$227),$B$185=1),$BI$227,HLOOKUP(INDIRECT(ADDRESS(2,COLUMN())),OFFSET($BN$2,0,0,ROW()-1,60),ROW()-1,FALSE))</f>
        <v>630</v>
      </c>
      <c r="BJ25">
        <f ca="1">IF(AND(ISNUMBER($BJ$227),$B$185=1),$BJ$227,HLOOKUP(INDIRECT(ADDRESS(2,COLUMN())),OFFSET($BN$2,0,0,ROW()-1,60),ROW()-1,FALSE))</f>
        <v>-1419</v>
      </c>
      <c r="BK25">
        <f ca="1">IF(AND(ISNUMBER($BK$227),$B$185=1),$BK$227,HLOOKUP(INDIRECT(ADDRESS(2,COLUMN())),OFFSET($BN$2,0,0,ROW()-1,60),ROW()-1,FALSE))</f>
        <v>1755</v>
      </c>
      <c r="BL25">
        <f ca="1">IF(AND(ISNUMBER($BL$227),$B$185=1),$BL$227,HLOOKUP(INDIRECT(ADDRESS(2,COLUMN())),OFFSET($BN$2,0,0,ROW()-1,60),ROW()-1,FALSE))</f>
        <v>898</v>
      </c>
      <c r="BM25" t="str">
        <f ca="1">IF(AND(ISNUMBER($BM$227),$B$185=1),$BM$227,HLOOKUP(INDIRECT(ADDRESS(2,COLUMN())),OFFSET($BN$2,0,0,ROW()-1,60),ROW()-1,FALSE))</f>
        <v/>
      </c>
      <c r="BN25" t="str">
        <f>""</f>
        <v/>
      </c>
      <c r="BO25" t="str">
        <f>""</f>
        <v/>
      </c>
      <c r="BP25" t="str">
        <f>""</f>
        <v/>
      </c>
      <c r="BQ25" t="str">
        <f>""</f>
        <v/>
      </c>
      <c r="BR25" t="str">
        <f>""</f>
        <v/>
      </c>
      <c r="BS25" t="str">
        <f>""</f>
        <v/>
      </c>
      <c r="BT25" t="str">
        <f>""</f>
        <v/>
      </c>
      <c r="BU25" t="str">
        <f>""</f>
        <v/>
      </c>
      <c r="BV25" t="str">
        <f>""</f>
        <v/>
      </c>
      <c r="BW25" t="str">
        <f>""</f>
        <v/>
      </c>
      <c r="BX25" t="str">
        <f>""</f>
        <v/>
      </c>
      <c r="BY25" t="str">
        <f>""</f>
        <v/>
      </c>
      <c r="BZ25" t="str">
        <f>""</f>
        <v/>
      </c>
      <c r="CA25" t="str">
        <f>""</f>
        <v/>
      </c>
      <c r="CB25" t="str">
        <f>""</f>
        <v/>
      </c>
      <c r="CC25" t="str">
        <f>""</f>
        <v/>
      </c>
      <c r="CD25" t="str">
        <f>""</f>
        <v/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  <c r="CI25" t="str">
        <f>""</f>
        <v/>
      </c>
      <c r="CJ25" t="str">
        <f>""</f>
        <v/>
      </c>
      <c r="CK25" t="str">
        <f>""</f>
        <v/>
      </c>
      <c r="CL25" t="str">
        <f>""</f>
        <v/>
      </c>
      <c r="CM25" t="str">
        <f>""</f>
        <v/>
      </c>
      <c r="CN25" t="str">
        <f>""</f>
        <v/>
      </c>
      <c r="CO25" t="str">
        <f>""</f>
        <v/>
      </c>
      <c r="CP25" t="str">
        <f>""</f>
        <v/>
      </c>
      <c r="CQ25" t="str">
        <f>""</f>
        <v/>
      </c>
      <c r="CR25" t="str">
        <f>""</f>
        <v/>
      </c>
      <c r="CS25">
        <f>122</f>
        <v>122</v>
      </c>
      <c r="CT25">
        <f>519</f>
        <v>519</v>
      </c>
      <c r="CU25">
        <f>589</f>
        <v>589</v>
      </c>
      <c r="CV25">
        <f>312</f>
        <v>312</v>
      </c>
      <c r="CW25">
        <f>433</f>
        <v>433</v>
      </c>
      <c r="CX25">
        <f>262</f>
        <v>262</v>
      </c>
      <c r="CY25">
        <f>407</f>
        <v>407</v>
      </c>
      <c r="CZ25">
        <f>1001</f>
        <v>1001</v>
      </c>
      <c r="DA25">
        <f>694</f>
        <v>694</v>
      </c>
      <c r="DB25">
        <f>352</f>
        <v>352</v>
      </c>
      <c r="DC25">
        <f>272</f>
        <v>272</v>
      </c>
      <c r="DD25">
        <f>527</f>
        <v>527</v>
      </c>
      <c r="DE25">
        <f>412</f>
        <v>412</v>
      </c>
      <c r="DF25">
        <f>848</f>
        <v>848</v>
      </c>
      <c r="DG25">
        <f>585</f>
        <v>585</v>
      </c>
      <c r="DH25">
        <f>1178</f>
        <v>1178</v>
      </c>
      <c r="DI25">
        <f>1263</f>
        <v>1263</v>
      </c>
      <c r="DJ25">
        <f>-540</f>
        <v>-540</v>
      </c>
      <c r="DK25">
        <f>2019</f>
        <v>2019</v>
      </c>
      <c r="DL25">
        <f>1659</f>
        <v>1659</v>
      </c>
      <c r="DM25">
        <f>1612</f>
        <v>1612</v>
      </c>
      <c r="DN25">
        <f>2119</f>
        <v>2119</v>
      </c>
      <c r="DO25">
        <f>1617</f>
        <v>1617</v>
      </c>
      <c r="DP25">
        <f>-13196</f>
        <v>-13196</v>
      </c>
      <c r="DQ25">
        <f>630</f>
        <v>630</v>
      </c>
      <c r="DR25">
        <f>-1419</f>
        <v>-1419</v>
      </c>
      <c r="DS25">
        <f>1755</f>
        <v>1755</v>
      </c>
      <c r="DT25">
        <f>898</f>
        <v>898</v>
      </c>
      <c r="DU25" t="str">
        <f>""</f>
        <v/>
      </c>
    </row>
    <row r="26" spans="1:125">
      <c r="A26" t="str">
        <f>"    Citigroup Inc"</f>
        <v xml:space="preserve">    Citigroup Inc</v>
      </c>
      <c r="B26" t="str">
        <f>"C US Equity"</f>
        <v>C US Equity</v>
      </c>
      <c r="C26" t="str">
        <f t="shared" si="1"/>
        <v>A0621</v>
      </c>
      <c r="D26" t="str">
        <f t="shared" si="2"/>
        <v>ARD_MORTGAGE_BANKING_REVENUE</v>
      </c>
      <c r="E26" t="str">
        <f t="shared" si="3"/>
        <v>Dynamic</v>
      </c>
      <c r="F26" t="str">
        <f ca="1">IF(AND(ISNUMBER($F$228),$B$185=1),$F$228,HLOOKUP(INDIRECT(ADDRESS(2,COLUMN())),OFFSET($BN$2,0,0,ROW()-1,60),ROW()-1,FALSE))</f>
        <v/>
      </c>
      <c r="G26" t="str">
        <f ca="1">IF(AND(ISNUMBER($G$228),$B$185=1),$G$228,HLOOKUP(INDIRECT(ADDRESS(2,COLUMN())),OFFSET($BN$2,0,0,ROW()-1,60),ROW()-1,FALSE))</f>
        <v/>
      </c>
      <c r="H26" t="str">
        <f ca="1">IF(AND(ISNUMBER($H$228),$B$185=1),$H$228,HLOOKUP(INDIRECT(ADDRESS(2,COLUMN())),OFFSET($BN$2,0,0,ROW()-1,60),ROW()-1,FALSE))</f>
        <v/>
      </c>
      <c r="I26" t="str">
        <f ca="1">IF(AND(ISNUMBER($I$228),$B$185=1),$I$228,HLOOKUP(INDIRECT(ADDRESS(2,COLUMN())),OFFSET($BN$2,0,0,ROW()-1,60),ROW()-1,FALSE))</f>
        <v/>
      </c>
      <c r="J26" t="str">
        <f ca="1">IF(AND(ISNUMBER($J$228),$B$185=1),$J$228,HLOOKUP(INDIRECT(ADDRESS(2,COLUMN())),OFFSET($BN$2,0,0,ROW()-1,60),ROW()-1,FALSE))</f>
        <v/>
      </c>
      <c r="K26" t="str">
        <f ca="1">IF(AND(ISNUMBER($K$228),$B$185=1),$K$228,HLOOKUP(INDIRECT(ADDRESS(2,COLUMN())),OFFSET($BN$2,0,0,ROW()-1,60),ROW()-1,FALSE))</f>
        <v/>
      </c>
      <c r="L26" t="str">
        <f ca="1">IF(AND(ISNUMBER($L$228),$B$185=1),$L$228,HLOOKUP(INDIRECT(ADDRESS(2,COLUMN())),OFFSET($BN$2,0,0,ROW()-1,60),ROW()-1,FALSE))</f>
        <v/>
      </c>
      <c r="M26" t="str">
        <f ca="1">IF(AND(ISNUMBER($M$228),$B$185=1),$M$228,HLOOKUP(INDIRECT(ADDRESS(2,COLUMN())),OFFSET($BN$2,0,0,ROW()-1,60),ROW()-1,FALSE))</f>
        <v/>
      </c>
      <c r="N26" t="str">
        <f ca="1">IF(AND(ISNUMBER($N$228),$B$185=1),$N$228,HLOOKUP(INDIRECT(ADDRESS(2,COLUMN())),OFFSET($BN$2,0,0,ROW()-1,60),ROW()-1,FALSE))</f>
        <v/>
      </c>
      <c r="O26" t="str">
        <f ca="1">IF(AND(ISNUMBER($O$228),$B$185=1),$O$228,HLOOKUP(INDIRECT(ADDRESS(2,COLUMN())),OFFSET($BN$2,0,0,ROW()-1,60),ROW()-1,FALSE))</f>
        <v/>
      </c>
      <c r="P26" t="str">
        <f ca="1">IF(AND(ISNUMBER($P$228),$B$185=1),$P$228,HLOOKUP(INDIRECT(ADDRESS(2,COLUMN())),OFFSET($BN$2,0,0,ROW()-1,60),ROW()-1,FALSE))</f>
        <v/>
      </c>
      <c r="Q26" t="str">
        <f ca="1">IF(AND(ISNUMBER($Q$228),$B$185=1),$Q$228,HLOOKUP(INDIRECT(ADDRESS(2,COLUMN())),OFFSET($BN$2,0,0,ROW()-1,60),ROW()-1,FALSE))</f>
        <v/>
      </c>
      <c r="R26" t="str">
        <f ca="1">IF(AND(ISNUMBER($R$228),$B$185=1),$R$228,HLOOKUP(INDIRECT(ADDRESS(2,COLUMN())),OFFSET($BN$2,0,0,ROW()-1,60),ROW()-1,FALSE))</f>
        <v/>
      </c>
      <c r="S26" t="str">
        <f ca="1">IF(AND(ISNUMBER($S$228),$B$185=1),$S$228,HLOOKUP(INDIRECT(ADDRESS(2,COLUMN())),OFFSET($BN$2,0,0,ROW()-1,60),ROW()-1,FALSE))</f>
        <v/>
      </c>
      <c r="T26" t="str">
        <f ca="1">IF(AND(ISNUMBER($T$228),$B$185=1),$T$228,HLOOKUP(INDIRECT(ADDRESS(2,COLUMN())),OFFSET($BN$2,0,0,ROW()-1,60),ROW()-1,FALSE))</f>
        <v/>
      </c>
      <c r="U26" t="str">
        <f ca="1">IF(AND(ISNUMBER($U$228),$B$185=1),$U$228,HLOOKUP(INDIRECT(ADDRESS(2,COLUMN())),OFFSET($BN$2,0,0,ROW()-1,60),ROW()-1,FALSE))</f>
        <v/>
      </c>
      <c r="V26" t="str">
        <f ca="1">IF(AND(ISNUMBER($V$228),$B$185=1),$V$228,HLOOKUP(INDIRECT(ADDRESS(2,COLUMN())),OFFSET($BN$2,0,0,ROW()-1,60),ROW()-1,FALSE))</f>
        <v/>
      </c>
      <c r="W26" t="str">
        <f ca="1">IF(AND(ISNUMBER($W$228),$B$185=1),$W$228,HLOOKUP(INDIRECT(ADDRESS(2,COLUMN())),OFFSET($BN$2,0,0,ROW()-1,60),ROW()-1,FALSE))</f>
        <v/>
      </c>
      <c r="X26" t="str">
        <f ca="1">IF(AND(ISNUMBER($X$228),$B$185=1),$X$228,HLOOKUP(INDIRECT(ADDRESS(2,COLUMN())),OFFSET($BN$2,0,0,ROW()-1,60),ROW()-1,FALSE))</f>
        <v/>
      </c>
      <c r="Y26" t="str">
        <f ca="1">IF(AND(ISNUMBER($Y$228),$B$185=1),$Y$228,HLOOKUP(INDIRECT(ADDRESS(2,COLUMN())),OFFSET($BN$2,0,0,ROW()-1,60),ROW()-1,FALSE))</f>
        <v/>
      </c>
      <c r="Z26" t="str">
        <f ca="1">IF(AND(ISNUMBER($Z$228),$B$185=1),$Z$228,HLOOKUP(INDIRECT(ADDRESS(2,COLUMN())),OFFSET($BN$2,0,0,ROW()-1,60),ROW()-1,FALSE))</f>
        <v/>
      </c>
      <c r="AA26" t="str">
        <f ca="1">IF(AND(ISNUMBER($AA$228),$B$185=1),$AA$228,HLOOKUP(INDIRECT(ADDRESS(2,COLUMN())),OFFSET($BN$2,0,0,ROW()-1,60),ROW()-1,FALSE))</f>
        <v/>
      </c>
      <c r="AB26" t="str">
        <f ca="1">IF(AND(ISNUMBER($AB$228),$B$185=1),$AB$228,HLOOKUP(INDIRECT(ADDRESS(2,COLUMN())),OFFSET($BN$2,0,0,ROW()-1,60),ROW()-1,FALSE))</f>
        <v/>
      </c>
      <c r="AC26" t="str">
        <f ca="1">IF(AND(ISNUMBER($AC$228),$B$185=1),$AC$228,HLOOKUP(INDIRECT(ADDRESS(2,COLUMN())),OFFSET($BN$2,0,0,ROW()-1,60),ROW()-1,FALSE))</f>
        <v/>
      </c>
      <c r="AD26" t="str">
        <f ca="1">IF(AND(ISNUMBER($AD$228),$B$185=1),$AD$228,HLOOKUP(INDIRECT(ADDRESS(2,COLUMN())),OFFSET($BN$2,0,0,ROW()-1,60),ROW()-1,FALSE))</f>
        <v/>
      </c>
      <c r="AE26" t="str">
        <f ca="1">IF(AND(ISNUMBER($AE$228),$B$185=1),$AE$228,HLOOKUP(INDIRECT(ADDRESS(2,COLUMN())),OFFSET($BN$2,0,0,ROW()-1,60),ROW()-1,FALSE))</f>
        <v/>
      </c>
      <c r="AF26" t="str">
        <f ca="1">IF(AND(ISNUMBER($AF$228),$B$185=1),$AF$228,HLOOKUP(INDIRECT(ADDRESS(2,COLUMN())),OFFSET($BN$2,0,0,ROW()-1,60),ROW()-1,FALSE))</f>
        <v/>
      </c>
      <c r="AG26" t="str">
        <f ca="1">IF(AND(ISNUMBER($AG$228),$B$185=1),$AG$228,HLOOKUP(INDIRECT(ADDRESS(2,COLUMN())),OFFSET($BN$2,0,0,ROW()-1,60),ROW()-1,FALSE))</f>
        <v/>
      </c>
      <c r="AH26" t="str">
        <f ca="1">IF(AND(ISNUMBER($AH$228),$B$185=1),$AH$228,HLOOKUP(INDIRECT(ADDRESS(2,COLUMN())),OFFSET($BN$2,0,0,ROW()-1,60),ROW()-1,FALSE))</f>
        <v/>
      </c>
      <c r="AI26" t="str">
        <f ca="1">IF(AND(ISNUMBER($AI$228),$B$185=1),$AI$228,HLOOKUP(INDIRECT(ADDRESS(2,COLUMN())),OFFSET($BN$2,0,0,ROW()-1,60),ROW()-1,FALSE))</f>
        <v/>
      </c>
      <c r="AJ26" t="str">
        <f ca="1">IF(AND(ISNUMBER($AJ$228),$B$185=1),$AJ$228,HLOOKUP(INDIRECT(ADDRESS(2,COLUMN())),OFFSET($BN$2,0,0,ROW()-1,60),ROW()-1,FALSE))</f>
        <v/>
      </c>
      <c r="AK26" t="str">
        <f ca="1">IF(AND(ISNUMBER($AK$228),$B$185=1),$AK$228,HLOOKUP(INDIRECT(ADDRESS(2,COLUMN())),OFFSET($BN$2,0,0,ROW()-1,60),ROW()-1,FALSE))</f>
        <v/>
      </c>
      <c r="AL26" t="str">
        <f ca="1">IF(AND(ISNUMBER($AL$228),$B$185=1),$AL$228,HLOOKUP(INDIRECT(ADDRESS(2,COLUMN())),OFFSET($BN$2,0,0,ROW()-1,60),ROW()-1,FALSE))</f>
        <v/>
      </c>
      <c r="AM26" t="str">
        <f ca="1">IF(AND(ISNUMBER($AM$228),$B$185=1),$AM$228,HLOOKUP(INDIRECT(ADDRESS(2,COLUMN())),OFFSET($BN$2,0,0,ROW()-1,60),ROW()-1,FALSE))</f>
        <v/>
      </c>
      <c r="AN26" t="str">
        <f ca="1">IF(AND(ISNUMBER($AN$228),$B$185=1),$AN$228,HLOOKUP(INDIRECT(ADDRESS(2,COLUMN())),OFFSET($BN$2,0,0,ROW()-1,60),ROW()-1,FALSE))</f>
        <v/>
      </c>
      <c r="AO26" t="str">
        <f ca="1">IF(AND(ISNUMBER($AO$228),$B$185=1),$AO$228,HLOOKUP(INDIRECT(ADDRESS(2,COLUMN())),OFFSET($BN$2,0,0,ROW()-1,60),ROW()-1,FALSE))</f>
        <v/>
      </c>
      <c r="AP26" t="str">
        <f ca="1">IF(AND(ISNUMBER($AP$228),$B$185=1),$AP$228,HLOOKUP(INDIRECT(ADDRESS(2,COLUMN())),OFFSET($BN$2,0,0,ROW()-1,60),ROW()-1,FALSE))</f>
        <v/>
      </c>
      <c r="AQ26" t="str">
        <f ca="1">IF(AND(ISNUMBER($AQ$228),$B$185=1),$AQ$228,HLOOKUP(INDIRECT(ADDRESS(2,COLUMN())),OFFSET($BN$2,0,0,ROW()-1,60),ROW()-1,FALSE))</f>
        <v/>
      </c>
      <c r="AR26" t="str">
        <f ca="1">IF(AND(ISNUMBER($AR$228),$B$185=1),$AR$228,HLOOKUP(INDIRECT(ADDRESS(2,COLUMN())),OFFSET($BN$2,0,0,ROW()-1,60),ROW()-1,FALSE))</f>
        <v/>
      </c>
      <c r="AS26" t="str">
        <f ca="1">IF(AND(ISNUMBER($AS$228),$B$185=1),$AS$228,HLOOKUP(INDIRECT(ADDRESS(2,COLUMN())),OFFSET($BN$2,0,0,ROW()-1,60),ROW()-1,FALSE))</f>
        <v/>
      </c>
      <c r="AT26" t="str">
        <f ca="1">IF(AND(ISNUMBER($AT$228),$B$185=1),$AT$228,HLOOKUP(INDIRECT(ADDRESS(2,COLUMN())),OFFSET($BN$2,0,0,ROW()-1,60),ROW()-1,FALSE))</f>
        <v/>
      </c>
      <c r="AU26" t="str">
        <f ca="1">IF(AND(ISNUMBER($AU$228),$B$185=1),$AU$228,HLOOKUP(INDIRECT(ADDRESS(2,COLUMN())),OFFSET($BN$2,0,0,ROW()-1,60),ROW()-1,FALSE))</f>
        <v/>
      </c>
      <c r="AV26" t="str">
        <f ca="1">IF(AND(ISNUMBER($AV$228),$B$185=1),$AV$228,HLOOKUP(INDIRECT(ADDRESS(2,COLUMN())),OFFSET($BN$2,0,0,ROW()-1,60),ROW()-1,FALSE))</f>
        <v/>
      </c>
      <c r="AW26" t="str">
        <f ca="1">IF(AND(ISNUMBER($AW$228),$B$185=1),$AW$228,HLOOKUP(INDIRECT(ADDRESS(2,COLUMN())),OFFSET($BN$2,0,0,ROW()-1,60),ROW()-1,FALSE))</f>
        <v/>
      </c>
      <c r="AX26" t="str">
        <f ca="1">IF(AND(ISNUMBER($AX$228),$B$185=1),$AX$228,HLOOKUP(INDIRECT(ADDRESS(2,COLUMN())),OFFSET($BN$2,0,0,ROW()-1,60),ROW()-1,FALSE))</f>
        <v/>
      </c>
      <c r="AY26" t="str">
        <f ca="1">IF(AND(ISNUMBER($AY$228),$B$185=1),$AY$228,HLOOKUP(INDIRECT(ADDRESS(2,COLUMN())),OFFSET($BN$2,0,0,ROW()-1,60),ROW()-1,FALSE))</f>
        <v/>
      </c>
      <c r="AZ26" t="str">
        <f ca="1">IF(AND(ISNUMBER($AZ$228),$B$185=1),$AZ$228,HLOOKUP(INDIRECT(ADDRESS(2,COLUMN())),OFFSET($BN$2,0,0,ROW()-1,60),ROW()-1,FALSE))</f>
        <v/>
      </c>
      <c r="BA26" t="str">
        <f ca="1">IF(AND(ISNUMBER($BA$228),$B$185=1),$BA$228,HLOOKUP(INDIRECT(ADDRESS(2,COLUMN())),OFFSET($BN$2,0,0,ROW()-1,60),ROW()-1,FALSE))</f>
        <v/>
      </c>
      <c r="BB26" t="str">
        <f ca="1">IF(AND(ISNUMBER($BB$228),$B$185=1),$BB$228,HLOOKUP(INDIRECT(ADDRESS(2,COLUMN())),OFFSET($BN$2,0,0,ROW()-1,60),ROW()-1,FALSE))</f>
        <v/>
      </c>
      <c r="BC26" t="str">
        <f ca="1">IF(AND(ISNUMBER($BC$228),$B$185=1),$BC$228,HLOOKUP(INDIRECT(ADDRESS(2,COLUMN())),OFFSET($BN$2,0,0,ROW()-1,60),ROW()-1,FALSE))</f>
        <v/>
      </c>
      <c r="BD26" t="str">
        <f ca="1">IF(AND(ISNUMBER($BD$228),$B$185=1),$BD$228,HLOOKUP(INDIRECT(ADDRESS(2,COLUMN())),OFFSET($BN$2,0,0,ROW()-1,60),ROW()-1,FALSE))</f>
        <v/>
      </c>
      <c r="BE26" t="str">
        <f ca="1">IF(AND(ISNUMBER($BE$228),$B$185=1),$BE$228,HLOOKUP(INDIRECT(ADDRESS(2,COLUMN())),OFFSET($BN$2,0,0,ROW()-1,60),ROW()-1,FALSE))</f>
        <v/>
      </c>
      <c r="BF26" t="str">
        <f ca="1">IF(AND(ISNUMBER($BF$228),$B$185=1),$BF$228,HLOOKUP(INDIRECT(ADDRESS(2,COLUMN())),OFFSET($BN$2,0,0,ROW()-1,60),ROW()-1,FALSE))</f>
        <v/>
      </c>
      <c r="BG26" t="str">
        <f ca="1">IF(AND(ISNUMBER($BG$228),$B$185=1),$BG$228,HLOOKUP(INDIRECT(ADDRESS(2,COLUMN())),OFFSET($BN$2,0,0,ROW()-1,60),ROW()-1,FALSE))</f>
        <v/>
      </c>
      <c r="BH26" t="str">
        <f ca="1">IF(AND(ISNUMBER($BH$228),$B$185=1),$BH$228,HLOOKUP(INDIRECT(ADDRESS(2,COLUMN())),OFFSET($BN$2,0,0,ROW()-1,60),ROW()-1,FALSE))</f>
        <v/>
      </c>
      <c r="BI26" t="str">
        <f ca="1">IF(AND(ISNUMBER($BI$228),$B$185=1),$BI$228,HLOOKUP(INDIRECT(ADDRESS(2,COLUMN())),OFFSET($BN$2,0,0,ROW()-1,60),ROW()-1,FALSE))</f>
        <v/>
      </c>
      <c r="BJ26" t="str">
        <f ca="1">IF(AND(ISNUMBER($BJ$228),$B$185=1),$BJ$228,HLOOKUP(INDIRECT(ADDRESS(2,COLUMN())),OFFSET($BN$2,0,0,ROW()-1,60),ROW()-1,FALSE))</f>
        <v/>
      </c>
      <c r="BK26" t="str">
        <f ca="1">IF(AND(ISNUMBER($BK$228),$B$185=1),$BK$228,HLOOKUP(INDIRECT(ADDRESS(2,COLUMN())),OFFSET($BN$2,0,0,ROW()-1,60),ROW()-1,FALSE))</f>
        <v/>
      </c>
      <c r="BL26" t="str">
        <f ca="1">IF(AND(ISNUMBER($BL$228),$B$185=1),$BL$228,HLOOKUP(INDIRECT(ADDRESS(2,COLUMN())),OFFSET($BN$2,0,0,ROW()-1,60),ROW()-1,FALSE))</f>
        <v/>
      </c>
      <c r="BM26" t="str">
        <f ca="1">IF(AND(ISNUMBER($BM$228),$B$185=1),$BM$228,HLOOKUP(INDIRECT(ADDRESS(2,COLUMN())),OFFSET($BN$2,0,0,ROW()-1,60),ROW()-1,FALSE))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>
      <c r="A27" t="str">
        <f>"    Citizens Financial Group Inc"</f>
        <v xml:space="preserve">    Citizens Financial Group Inc</v>
      </c>
      <c r="B27" t="str">
        <f>"CFG US Equity"</f>
        <v>CFG US Equity</v>
      </c>
      <c r="C27" t="str">
        <f t="shared" si="1"/>
        <v>A0621</v>
      </c>
      <c r="D27" t="str">
        <f t="shared" si="2"/>
        <v>ARD_MORTGAGE_BANKING_REVENUE</v>
      </c>
      <c r="E27" t="str">
        <f t="shared" si="3"/>
        <v>Dynamic</v>
      </c>
      <c r="F27">
        <f ca="1">IF(AND(ISNUMBER($F$229),$B$185=1),$F$229,HLOOKUP(INDIRECT(ADDRESS(2,COLUMN())),OFFSET($BN$2,0,0,ROW()-1,60),ROW()-1,FALSE))</f>
        <v>60</v>
      </c>
      <c r="G27">
        <f ca="1">IF(AND(ISNUMBER($G$229),$B$185=1),$G$229,HLOOKUP(INDIRECT(ADDRESS(2,COLUMN())),OFFSET($BN$2,0,0,ROW()-1,60),ROW()-1,FALSE))</f>
        <v>46</v>
      </c>
      <c r="H27">
        <f ca="1">IF(AND(ISNUMBER($H$229),$B$185=1),$H$229,HLOOKUP(INDIRECT(ADDRESS(2,COLUMN())),OFFSET($BN$2,0,0,ROW()-1,60),ROW()-1,FALSE))</f>
        <v>54</v>
      </c>
      <c r="I27">
        <f ca="1">IF(AND(ISNUMBER($I$229),$B$185=1),$I$229,HLOOKUP(INDIRECT(ADDRESS(2,COLUMN())),OFFSET($BN$2,0,0,ROW()-1,60),ROW()-1,FALSE))</f>
        <v>49</v>
      </c>
      <c r="J27">
        <f ca="1">IF(AND(ISNUMBER($J$229),$B$185=1),$J$229,HLOOKUP(INDIRECT(ADDRESS(2,COLUMN())),OFFSET($BN$2,0,0,ROW()-1,60),ROW()-1,FALSE))</f>
        <v>57</v>
      </c>
      <c r="K27">
        <f ca="1">IF(AND(ISNUMBER($K$229),$B$185=1),$K$229,HLOOKUP(INDIRECT(ADDRESS(2,COLUMN())),OFFSET($BN$2,0,0,ROW()-1,60),ROW()-1,FALSE))</f>
        <v>69</v>
      </c>
      <c r="L27">
        <f ca="1">IF(AND(ISNUMBER($L$229),$B$185=1),$L$229,HLOOKUP(INDIRECT(ADDRESS(2,COLUMN())),OFFSET($BN$2,0,0,ROW()-1,60),ROW()-1,FALSE))</f>
        <v>59</v>
      </c>
      <c r="M27">
        <f ca="1">IF(AND(ISNUMBER($M$229),$B$185=1),$M$229,HLOOKUP(INDIRECT(ADDRESS(2,COLUMN())),OFFSET($BN$2,0,0,ROW()-1,60),ROW()-1,FALSE))</f>
        <v>57</v>
      </c>
      <c r="N27">
        <f ca="1">IF(AND(ISNUMBER($N$229),$B$185=1),$N$229,HLOOKUP(INDIRECT(ADDRESS(2,COLUMN())),OFFSET($BN$2,0,0,ROW()-1,60),ROW()-1,FALSE))</f>
        <v>54</v>
      </c>
      <c r="O27">
        <f ca="1">IF(AND(ISNUMBER($O$229),$B$185=1),$O$229,HLOOKUP(INDIRECT(ADDRESS(2,COLUMN())),OFFSET($BN$2,0,0,ROW()-1,60),ROW()-1,FALSE))</f>
        <v>66</v>
      </c>
      <c r="P27">
        <f ca="1">IF(AND(ISNUMBER($P$229),$B$185=1),$P$229,HLOOKUP(INDIRECT(ADDRESS(2,COLUMN())),OFFSET($BN$2,0,0,ROW()-1,60),ROW()-1,FALSE))</f>
        <v>72</v>
      </c>
      <c r="Q27">
        <f ca="1">IF(AND(ISNUMBER($Q$229),$B$185=1),$Q$229,HLOOKUP(INDIRECT(ADDRESS(2,COLUMN())),OFFSET($BN$2,0,0,ROW()-1,60),ROW()-1,FALSE))</f>
        <v>69</v>
      </c>
      <c r="R27">
        <f ca="1">IF(AND(ISNUMBER($R$229),$B$185=1),$R$229,HLOOKUP(INDIRECT(ADDRESS(2,COLUMN())),OFFSET($BN$2,0,0,ROW()-1,60),ROW()-1,FALSE))</f>
        <v>76</v>
      </c>
      <c r="S27">
        <f ca="1">IF(AND(ISNUMBER($S$229),$B$185=1),$S$229,HLOOKUP(INDIRECT(ADDRESS(2,COLUMN())),OFFSET($BN$2,0,0,ROW()-1,60),ROW()-1,FALSE))</f>
        <v>108</v>
      </c>
      <c r="T27">
        <f ca="1">IF(AND(ISNUMBER($T$229),$B$185=1),$T$229,HLOOKUP(INDIRECT(ADDRESS(2,COLUMN())),OFFSET($BN$2,0,0,ROW()-1,60),ROW()-1,FALSE))</f>
        <v>85</v>
      </c>
      <c r="U27">
        <f ca="1">IF(AND(ISNUMBER($U$229),$B$185=1),$U$229,HLOOKUP(INDIRECT(ADDRESS(2,COLUMN())),OFFSET($BN$2,0,0,ROW()-1,60),ROW()-1,FALSE))</f>
        <v>165</v>
      </c>
      <c r="V27">
        <f ca="1">IF(AND(ISNUMBER($V$229),$B$185=1),$V$229,HLOOKUP(INDIRECT(ADDRESS(2,COLUMN())),OFFSET($BN$2,0,0,ROW()-1,60),ROW()-1,FALSE))</f>
        <v>193</v>
      </c>
      <c r="W27">
        <f ca="1">IF(AND(ISNUMBER($W$229),$B$185=1),$W$229,HLOOKUP(INDIRECT(ADDRESS(2,COLUMN())),OFFSET($BN$2,0,0,ROW()-1,60),ROW()-1,FALSE))</f>
        <v>287</v>
      </c>
      <c r="X27">
        <f ca="1">IF(AND(ISNUMBER($X$229),$B$185=1),$X$229,HLOOKUP(INDIRECT(ADDRESS(2,COLUMN())),OFFSET($BN$2,0,0,ROW()-1,60),ROW()-1,FALSE))</f>
        <v>276</v>
      </c>
      <c r="Y27">
        <f ca="1">IF(AND(ISNUMBER($Y$229),$B$185=1),$Y$229,HLOOKUP(INDIRECT(ADDRESS(2,COLUMN())),OFFSET($BN$2,0,0,ROW()-1,60),ROW()-1,FALSE))</f>
        <v>159</v>
      </c>
      <c r="Z27">
        <f ca="1">IF(AND(ISNUMBER($Z$229),$B$185=1),$Z$229,HLOOKUP(INDIRECT(ADDRESS(2,COLUMN())),OFFSET($BN$2,0,0,ROW()-1,60),ROW()-1,FALSE))</f>
        <v>80</v>
      </c>
      <c r="AA27">
        <f ca="1">IF(AND(ISNUMBER($AA$229),$B$185=1),$AA$229,HLOOKUP(INDIRECT(ADDRESS(2,COLUMN())),OFFSET($BN$2,0,0,ROW()-1,60),ROW()-1,FALSE))</f>
        <v>117</v>
      </c>
      <c r="AB27">
        <f ca="1">IF(AND(ISNUMBER($AB$229),$B$185=1),$AB$229,HLOOKUP(INDIRECT(ADDRESS(2,COLUMN())),OFFSET($BN$2,0,0,ROW()-1,60),ROW()-1,FALSE))</f>
        <v>62</v>
      </c>
      <c r="AC27">
        <f ca="1">IF(AND(ISNUMBER($AC$229),$B$185=1),$AC$229,HLOOKUP(INDIRECT(ADDRESS(2,COLUMN())),OFFSET($BN$2,0,0,ROW()-1,60),ROW()-1,FALSE))</f>
        <v>43</v>
      </c>
      <c r="AD27">
        <f ca="1">IF(AND(ISNUMBER($AD$229),$B$185=1),$AD$229,HLOOKUP(INDIRECT(ADDRESS(2,COLUMN())),OFFSET($BN$2,0,0,ROW()-1,60),ROW()-1,FALSE))</f>
        <v>51</v>
      </c>
      <c r="AE27">
        <f ca="1">IF(AND(ISNUMBER($AE$229),$B$185=1),$AE$229,HLOOKUP(INDIRECT(ADDRESS(2,COLUMN())),OFFSET($BN$2,0,0,ROW()-1,60),ROW()-1,FALSE))</f>
        <v>49</v>
      </c>
      <c r="AF27">
        <f ca="1">IF(AND(ISNUMBER($AF$229),$B$185=1),$AF$229,HLOOKUP(INDIRECT(ADDRESS(2,COLUMN())),OFFSET($BN$2,0,0,ROW()-1,60),ROW()-1,FALSE))</f>
        <v>27</v>
      </c>
      <c r="AG27">
        <f ca="1">IF(AND(ISNUMBER($AG$229),$B$185=1),$AG$229,HLOOKUP(INDIRECT(ADDRESS(2,COLUMN())),OFFSET($BN$2,0,0,ROW()-1,60),ROW()-1,FALSE))</f>
        <v>25</v>
      </c>
      <c r="AH27" t="str">
        <f ca="1">IF(AND(ISNUMBER($AH$229),$B$185=1),$AH$229,HLOOKUP(INDIRECT(ADDRESS(2,COLUMN())),OFFSET($BN$2,0,0,ROW()-1,60),ROW()-1,FALSE))</f>
        <v/>
      </c>
      <c r="AI27">
        <f ca="1">IF(AND(ISNUMBER($AI$229),$B$185=1),$AI$229,HLOOKUP(INDIRECT(ADDRESS(2,COLUMN())),OFFSET($BN$2,0,0,ROW()-1,60),ROW()-1,FALSE))</f>
        <v>27</v>
      </c>
      <c r="AJ27">
        <f ca="1">IF(AND(ISNUMBER($AJ$229),$B$185=1),$AJ$229,HLOOKUP(INDIRECT(ADDRESS(2,COLUMN())),OFFSET($BN$2,0,0,ROW()-1,60),ROW()-1,FALSE))</f>
        <v>30</v>
      </c>
      <c r="AK27">
        <f ca="1">IF(AND(ISNUMBER($AK$229),$B$185=1),$AK$229,HLOOKUP(INDIRECT(ADDRESS(2,COLUMN())),OFFSET($BN$2,0,0,ROW()-1,60),ROW()-1,FALSE))</f>
        <v>23</v>
      </c>
      <c r="AL27">
        <f ca="1">IF(AND(ISNUMBER($AL$229),$B$185=1),$AL$229,HLOOKUP(INDIRECT(ADDRESS(2,COLUMN())),OFFSET($BN$2,0,0,ROW()-1,60),ROW()-1,FALSE))</f>
        <v>36</v>
      </c>
      <c r="AM27">
        <f ca="1">IF(AND(ISNUMBER($AM$229),$B$185=1),$AM$229,HLOOKUP(INDIRECT(ADDRESS(2,COLUMN())),OFFSET($BN$2,0,0,ROW()-1,60),ROW()-1,FALSE))</f>
        <v>33</v>
      </c>
      <c r="AN27">
        <f ca="1">IF(AND(ISNUMBER($AN$229),$B$185=1),$AN$229,HLOOKUP(INDIRECT(ADDRESS(2,COLUMN())),OFFSET($BN$2,0,0,ROW()-1,60),ROW()-1,FALSE))</f>
        <v>25</v>
      </c>
      <c r="AO27">
        <f ca="1">IF(AND(ISNUMBER($AO$229),$B$185=1),$AO$229,HLOOKUP(INDIRECT(ADDRESS(2,COLUMN())),OFFSET($BN$2,0,0,ROW()-1,60),ROW()-1,FALSE))</f>
        <v>18</v>
      </c>
      <c r="AP27">
        <f ca="1">IF(AND(ISNUMBER($AP$229),$B$185=1),$AP$229,HLOOKUP(INDIRECT(ADDRESS(2,COLUMN())),OFFSET($BN$2,0,0,ROW()-1,60),ROW()-1,FALSE))</f>
        <v>20</v>
      </c>
      <c r="AQ27">
        <f ca="1">IF(AND(ISNUMBER($AQ$229),$B$185=1),$AQ$229,HLOOKUP(INDIRECT(ADDRESS(2,COLUMN())),OFFSET($BN$2,0,0,ROW()-1,60),ROW()-1,FALSE))</f>
        <v>18</v>
      </c>
      <c r="AR27">
        <f ca="1">IF(AND(ISNUMBER($AR$229),$B$185=1),$AR$229,HLOOKUP(INDIRECT(ADDRESS(2,COLUMN())),OFFSET($BN$2,0,0,ROW()-1,60),ROW()-1,FALSE))</f>
        <v>30</v>
      </c>
      <c r="AS27">
        <f ca="1">IF(AND(ISNUMBER($AS$229),$B$185=1),$AS$229,HLOOKUP(INDIRECT(ADDRESS(2,COLUMN())),OFFSET($BN$2,0,0,ROW()-1,60),ROW()-1,FALSE))</f>
        <v>33</v>
      </c>
      <c r="AT27">
        <f ca="1">IF(AND(ISNUMBER($AT$229),$B$185=1),$AT$229,HLOOKUP(INDIRECT(ADDRESS(2,COLUMN())),OFFSET($BN$2,0,0,ROW()-1,60),ROW()-1,FALSE))</f>
        <v>16</v>
      </c>
      <c r="AU27">
        <f ca="1">IF(AND(ISNUMBER($AU$229),$B$185=1),$AU$229,HLOOKUP(INDIRECT(ADDRESS(2,COLUMN())),OFFSET($BN$2,0,0,ROW()-1,60),ROW()-1,FALSE))</f>
        <v>21</v>
      </c>
      <c r="AV27">
        <f ca="1">IF(AND(ISNUMBER($AV$229),$B$185=1),$AV$229,HLOOKUP(INDIRECT(ADDRESS(2,COLUMN())),OFFSET($BN$2,0,0,ROW()-1,60),ROW()-1,FALSE))</f>
        <v>14</v>
      </c>
      <c r="AW27">
        <f ca="1">IF(AND(ISNUMBER($AW$229),$B$185=1),$AW$229,HLOOKUP(INDIRECT(ADDRESS(2,COLUMN())),OFFSET($BN$2,0,0,ROW()-1,60),ROW()-1,FALSE))</f>
        <v>20</v>
      </c>
      <c r="AX27">
        <f ca="1">IF(AND(ISNUMBER($AX$229),$B$185=1),$AX$229,HLOOKUP(INDIRECT(ADDRESS(2,COLUMN())),OFFSET($BN$2,0,0,ROW()-1,60),ROW()-1,FALSE))</f>
        <v>20</v>
      </c>
      <c r="AY27">
        <f ca="1">IF(AND(ISNUMBER($AY$229),$B$185=1),$AY$229,HLOOKUP(INDIRECT(ADDRESS(2,COLUMN())),OFFSET($BN$2,0,0,ROW()-1,60),ROW()-1,FALSE))</f>
        <v>20</v>
      </c>
      <c r="AZ27" t="str">
        <f ca="1">IF(AND(ISNUMBER($AZ$229),$B$185=1),$AZ$229,HLOOKUP(INDIRECT(ADDRESS(2,COLUMN())),OFFSET($BN$2,0,0,ROW()-1,60),ROW()-1,FALSE))</f>
        <v/>
      </c>
      <c r="BA27">
        <f ca="1">IF(AND(ISNUMBER($BA$229),$B$185=1),$BA$229,HLOOKUP(INDIRECT(ADDRESS(2,COLUMN())),OFFSET($BN$2,0,0,ROW()-1,60),ROW()-1,FALSE))</f>
        <v>46</v>
      </c>
      <c r="BB27" t="str">
        <f ca="1">IF(AND(ISNUMBER($BB$229),$B$185=1),$BB$229,HLOOKUP(INDIRECT(ADDRESS(2,COLUMN())),OFFSET($BN$2,0,0,ROW()-1,60),ROW()-1,FALSE))</f>
        <v/>
      </c>
      <c r="BC27" t="str">
        <f ca="1">IF(AND(ISNUMBER($BC$229),$B$185=1),$BC$229,HLOOKUP(INDIRECT(ADDRESS(2,COLUMN())),OFFSET($BN$2,0,0,ROW()-1,60),ROW()-1,FALSE))</f>
        <v/>
      </c>
      <c r="BD27" t="str">
        <f ca="1">IF(AND(ISNUMBER($BD$229),$B$185=1),$BD$229,HLOOKUP(INDIRECT(ADDRESS(2,COLUMN())),OFFSET($BN$2,0,0,ROW()-1,60),ROW()-1,FALSE))</f>
        <v/>
      </c>
      <c r="BE27" t="str">
        <f ca="1">IF(AND(ISNUMBER($BE$229),$B$185=1),$BE$229,HLOOKUP(INDIRECT(ADDRESS(2,COLUMN())),OFFSET($BN$2,0,0,ROW()-1,60),ROW()-1,FALSE))</f>
        <v/>
      </c>
      <c r="BF27" t="str">
        <f ca="1">IF(AND(ISNUMBER($BF$229),$B$185=1),$BF$229,HLOOKUP(INDIRECT(ADDRESS(2,COLUMN())),OFFSET($BN$2,0,0,ROW()-1,60),ROW()-1,FALSE))</f>
        <v/>
      </c>
      <c r="BG27" t="str">
        <f ca="1">IF(AND(ISNUMBER($BG$229),$B$185=1),$BG$229,HLOOKUP(INDIRECT(ADDRESS(2,COLUMN())),OFFSET($BN$2,0,0,ROW()-1,60),ROW()-1,FALSE))</f>
        <v/>
      </c>
      <c r="BH27" t="str">
        <f ca="1">IF(AND(ISNUMBER($BH$229),$B$185=1),$BH$229,HLOOKUP(INDIRECT(ADDRESS(2,COLUMN())),OFFSET($BN$2,0,0,ROW()-1,60),ROW()-1,FALSE))</f>
        <v/>
      </c>
      <c r="BI27" t="str">
        <f ca="1">IF(AND(ISNUMBER($BI$229),$B$185=1),$BI$229,HLOOKUP(INDIRECT(ADDRESS(2,COLUMN())),OFFSET($BN$2,0,0,ROW()-1,60),ROW()-1,FALSE))</f>
        <v/>
      </c>
      <c r="BJ27" t="str">
        <f ca="1">IF(AND(ISNUMBER($BJ$229),$B$185=1),$BJ$229,HLOOKUP(INDIRECT(ADDRESS(2,COLUMN())),OFFSET($BN$2,0,0,ROW()-1,60),ROW()-1,FALSE))</f>
        <v/>
      </c>
      <c r="BK27" t="str">
        <f ca="1">IF(AND(ISNUMBER($BK$229),$B$185=1),$BK$229,HLOOKUP(INDIRECT(ADDRESS(2,COLUMN())),OFFSET($BN$2,0,0,ROW()-1,60),ROW()-1,FALSE))</f>
        <v/>
      </c>
      <c r="BL27" t="str">
        <f ca="1">IF(AND(ISNUMBER($BL$229),$B$185=1),$BL$229,HLOOKUP(INDIRECT(ADDRESS(2,COLUMN())),OFFSET($BN$2,0,0,ROW()-1,60),ROW()-1,FALSE))</f>
        <v/>
      </c>
      <c r="BM27" t="str">
        <f ca="1">IF(AND(ISNUMBER($BM$229),$B$185=1),$BM$229,HLOOKUP(INDIRECT(ADDRESS(2,COLUMN())),OFFSET($BN$2,0,0,ROW()-1,60),ROW()-1,FALSE))</f>
        <v/>
      </c>
      <c r="BN27">
        <f>60</f>
        <v>60</v>
      </c>
      <c r="BO27">
        <f>46</f>
        <v>46</v>
      </c>
      <c r="BP27">
        <f>54</f>
        <v>54</v>
      </c>
      <c r="BQ27">
        <f>49</f>
        <v>49</v>
      </c>
      <c r="BR27">
        <f>57</f>
        <v>57</v>
      </c>
      <c r="BS27">
        <f>69</f>
        <v>69</v>
      </c>
      <c r="BT27">
        <f>59</f>
        <v>59</v>
      </c>
      <c r="BU27">
        <f>57</f>
        <v>57</v>
      </c>
      <c r="BV27">
        <f>54</f>
        <v>54</v>
      </c>
      <c r="BW27">
        <f>66</f>
        <v>66</v>
      </c>
      <c r="BX27">
        <f>72</f>
        <v>72</v>
      </c>
      <c r="BY27">
        <f>69</f>
        <v>69</v>
      </c>
      <c r="BZ27">
        <f>76</f>
        <v>76</v>
      </c>
      <c r="CA27">
        <f>108</f>
        <v>108</v>
      </c>
      <c r="CB27">
        <f>85</f>
        <v>85</v>
      </c>
      <c r="CC27">
        <f>165</f>
        <v>165</v>
      </c>
      <c r="CD27">
        <f>193</f>
        <v>193</v>
      </c>
      <c r="CE27">
        <f>287</f>
        <v>287</v>
      </c>
      <c r="CF27">
        <f>276</f>
        <v>276</v>
      </c>
      <c r="CG27">
        <f>159</f>
        <v>159</v>
      </c>
      <c r="CH27">
        <f>80</f>
        <v>80</v>
      </c>
      <c r="CI27">
        <f>117</f>
        <v>117</v>
      </c>
      <c r="CJ27">
        <f>62</f>
        <v>62</v>
      </c>
      <c r="CK27">
        <f>43</f>
        <v>43</v>
      </c>
      <c r="CL27">
        <f>51</f>
        <v>51</v>
      </c>
      <c r="CM27">
        <f>49</f>
        <v>49</v>
      </c>
      <c r="CN27">
        <f>27</f>
        <v>27</v>
      </c>
      <c r="CO27">
        <f>25</f>
        <v>25</v>
      </c>
      <c r="CP27" t="str">
        <f>""</f>
        <v/>
      </c>
      <c r="CQ27">
        <f>27</f>
        <v>27</v>
      </c>
      <c r="CR27">
        <f>30</f>
        <v>30</v>
      </c>
      <c r="CS27">
        <f>23</f>
        <v>23</v>
      </c>
      <c r="CT27">
        <f>36</f>
        <v>36</v>
      </c>
      <c r="CU27">
        <f>33</f>
        <v>33</v>
      </c>
      <c r="CV27">
        <f>25</f>
        <v>25</v>
      </c>
      <c r="CW27">
        <f>18</f>
        <v>18</v>
      </c>
      <c r="CX27">
        <f>20</f>
        <v>20</v>
      </c>
      <c r="CY27">
        <f>18</f>
        <v>18</v>
      </c>
      <c r="CZ27">
        <f>30</f>
        <v>30</v>
      </c>
      <c r="DA27">
        <f>33</f>
        <v>33</v>
      </c>
      <c r="DB27">
        <f>16</f>
        <v>16</v>
      </c>
      <c r="DC27">
        <f>21</f>
        <v>21</v>
      </c>
      <c r="DD27">
        <f>14</f>
        <v>14</v>
      </c>
      <c r="DE27">
        <f>20</f>
        <v>20</v>
      </c>
      <c r="DF27">
        <f>20</f>
        <v>20</v>
      </c>
      <c r="DG27">
        <f>20</f>
        <v>20</v>
      </c>
      <c r="DH27" t="str">
        <f>""</f>
        <v/>
      </c>
      <c r="DI27">
        <f>46</f>
        <v>46</v>
      </c>
      <c r="DJ27" t="str">
        <f>""</f>
        <v/>
      </c>
      <c r="DK27" t="str">
        <f>""</f>
        <v/>
      </c>
      <c r="DL27" t="str">
        <f>""</f>
        <v/>
      </c>
      <c r="DM27" t="str">
        <f>""</f>
        <v/>
      </c>
      <c r="DN27" t="str">
        <f>""</f>
        <v/>
      </c>
      <c r="DO27" t="str">
        <f>""</f>
        <v/>
      </c>
      <c r="DP27" t="str">
        <f>""</f>
        <v/>
      </c>
      <c r="DQ27" t="str">
        <f>""</f>
        <v/>
      </c>
      <c r="DR27" t="str">
        <f>""</f>
        <v/>
      </c>
      <c r="DS27" t="str">
        <f>""</f>
        <v/>
      </c>
      <c r="DT27" t="str">
        <f>""</f>
        <v/>
      </c>
      <c r="DU27" t="str">
        <f>""</f>
        <v/>
      </c>
    </row>
    <row r="28" spans="1:125">
      <c r="A28" t="str">
        <f>"    Capital One Financial Corp"</f>
        <v xml:space="preserve">    Capital One Financial Corp</v>
      </c>
      <c r="B28" t="str">
        <f>"COF US Equity"</f>
        <v>COF US Equity</v>
      </c>
      <c r="C28" t="str">
        <f t="shared" si="1"/>
        <v>A0621</v>
      </c>
      <c r="D28" t="str">
        <f t="shared" si="2"/>
        <v>ARD_MORTGAGE_BANKING_REVENUE</v>
      </c>
      <c r="E28" t="str">
        <f t="shared" si="3"/>
        <v>Dynamic</v>
      </c>
      <c r="F28" t="str">
        <f ca="1">IF(AND(ISNUMBER($F$230),$B$185=1),$F$230,HLOOKUP(INDIRECT(ADDRESS(2,COLUMN())),OFFSET($BN$2,0,0,ROW()-1,60),ROW()-1,FALSE))</f>
        <v/>
      </c>
      <c r="G28" t="str">
        <f ca="1">IF(AND(ISNUMBER($G$230),$B$185=1),$G$230,HLOOKUP(INDIRECT(ADDRESS(2,COLUMN())),OFFSET($BN$2,0,0,ROW()-1,60),ROW()-1,FALSE))</f>
        <v/>
      </c>
      <c r="H28" t="str">
        <f ca="1">IF(AND(ISNUMBER($H$230),$B$185=1),$H$230,HLOOKUP(INDIRECT(ADDRESS(2,COLUMN())),OFFSET($BN$2,0,0,ROW()-1,60),ROW()-1,FALSE))</f>
        <v/>
      </c>
      <c r="I28" t="str">
        <f ca="1">IF(AND(ISNUMBER($I$230),$B$185=1),$I$230,HLOOKUP(INDIRECT(ADDRESS(2,COLUMN())),OFFSET($BN$2,0,0,ROW()-1,60),ROW()-1,FALSE))</f>
        <v/>
      </c>
      <c r="J28" t="str">
        <f ca="1">IF(AND(ISNUMBER($J$230),$B$185=1),$J$230,HLOOKUP(INDIRECT(ADDRESS(2,COLUMN())),OFFSET($BN$2,0,0,ROW()-1,60),ROW()-1,FALSE))</f>
        <v/>
      </c>
      <c r="K28" t="str">
        <f ca="1">IF(AND(ISNUMBER($K$230),$B$185=1),$K$230,HLOOKUP(INDIRECT(ADDRESS(2,COLUMN())),OFFSET($BN$2,0,0,ROW()-1,60),ROW()-1,FALSE))</f>
        <v/>
      </c>
      <c r="L28" t="str">
        <f ca="1">IF(AND(ISNUMBER($L$230),$B$185=1),$L$230,HLOOKUP(INDIRECT(ADDRESS(2,COLUMN())),OFFSET($BN$2,0,0,ROW()-1,60),ROW()-1,FALSE))</f>
        <v/>
      </c>
      <c r="M28" t="str">
        <f ca="1">IF(AND(ISNUMBER($M$230),$B$185=1),$M$230,HLOOKUP(INDIRECT(ADDRESS(2,COLUMN())),OFFSET($BN$2,0,0,ROW()-1,60),ROW()-1,FALSE))</f>
        <v/>
      </c>
      <c r="N28" t="str">
        <f ca="1">IF(AND(ISNUMBER($N$230),$B$185=1),$N$230,HLOOKUP(INDIRECT(ADDRESS(2,COLUMN())),OFFSET($BN$2,0,0,ROW()-1,60),ROW()-1,FALSE))</f>
        <v/>
      </c>
      <c r="O28" t="str">
        <f ca="1">IF(AND(ISNUMBER($O$230),$B$185=1),$O$230,HLOOKUP(INDIRECT(ADDRESS(2,COLUMN())),OFFSET($BN$2,0,0,ROW()-1,60),ROW()-1,FALSE))</f>
        <v/>
      </c>
      <c r="P28" t="str">
        <f ca="1">IF(AND(ISNUMBER($P$230),$B$185=1),$P$230,HLOOKUP(INDIRECT(ADDRESS(2,COLUMN())),OFFSET($BN$2,0,0,ROW()-1,60),ROW()-1,FALSE))</f>
        <v/>
      </c>
      <c r="Q28" t="str">
        <f ca="1">IF(AND(ISNUMBER($Q$230),$B$185=1),$Q$230,HLOOKUP(INDIRECT(ADDRESS(2,COLUMN())),OFFSET($BN$2,0,0,ROW()-1,60),ROW()-1,FALSE))</f>
        <v/>
      </c>
      <c r="R28" t="str">
        <f ca="1">IF(AND(ISNUMBER($R$230),$B$185=1),$R$230,HLOOKUP(INDIRECT(ADDRESS(2,COLUMN())),OFFSET($BN$2,0,0,ROW()-1,60),ROW()-1,FALSE))</f>
        <v/>
      </c>
      <c r="S28" t="str">
        <f ca="1">IF(AND(ISNUMBER($S$230),$B$185=1),$S$230,HLOOKUP(INDIRECT(ADDRESS(2,COLUMN())),OFFSET($BN$2,0,0,ROW()-1,60),ROW()-1,FALSE))</f>
        <v/>
      </c>
      <c r="T28" t="str">
        <f ca="1">IF(AND(ISNUMBER($T$230),$B$185=1),$T$230,HLOOKUP(INDIRECT(ADDRESS(2,COLUMN())),OFFSET($BN$2,0,0,ROW()-1,60),ROW()-1,FALSE))</f>
        <v/>
      </c>
      <c r="U28" t="str">
        <f ca="1">IF(AND(ISNUMBER($U$230),$B$185=1),$U$230,HLOOKUP(INDIRECT(ADDRESS(2,COLUMN())),OFFSET($BN$2,0,0,ROW()-1,60),ROW()-1,FALSE))</f>
        <v/>
      </c>
      <c r="V28" t="str">
        <f ca="1">IF(AND(ISNUMBER($V$230),$B$185=1),$V$230,HLOOKUP(INDIRECT(ADDRESS(2,COLUMN())),OFFSET($BN$2,0,0,ROW()-1,60),ROW()-1,FALSE))</f>
        <v/>
      </c>
      <c r="W28" t="str">
        <f ca="1">IF(AND(ISNUMBER($W$230),$B$185=1),$W$230,HLOOKUP(INDIRECT(ADDRESS(2,COLUMN())),OFFSET($BN$2,0,0,ROW()-1,60),ROW()-1,FALSE))</f>
        <v/>
      </c>
      <c r="X28" t="str">
        <f ca="1">IF(AND(ISNUMBER($X$230),$B$185=1),$X$230,HLOOKUP(INDIRECT(ADDRESS(2,COLUMN())),OFFSET($BN$2,0,0,ROW()-1,60),ROW()-1,FALSE))</f>
        <v/>
      </c>
      <c r="Y28" t="str">
        <f ca="1">IF(AND(ISNUMBER($Y$230),$B$185=1),$Y$230,HLOOKUP(INDIRECT(ADDRESS(2,COLUMN())),OFFSET($BN$2,0,0,ROW()-1,60),ROW()-1,FALSE))</f>
        <v/>
      </c>
      <c r="Z28" t="str">
        <f ca="1">IF(AND(ISNUMBER($Z$230),$B$185=1),$Z$230,HLOOKUP(INDIRECT(ADDRESS(2,COLUMN())),OFFSET($BN$2,0,0,ROW()-1,60),ROW()-1,FALSE))</f>
        <v/>
      </c>
      <c r="AA28" t="str">
        <f ca="1">IF(AND(ISNUMBER($AA$230),$B$185=1),$AA$230,HLOOKUP(INDIRECT(ADDRESS(2,COLUMN())),OFFSET($BN$2,0,0,ROW()-1,60),ROW()-1,FALSE))</f>
        <v/>
      </c>
      <c r="AB28" t="str">
        <f ca="1">IF(AND(ISNUMBER($AB$230),$B$185=1),$AB$230,HLOOKUP(INDIRECT(ADDRESS(2,COLUMN())),OFFSET($BN$2,0,0,ROW()-1,60),ROW()-1,FALSE))</f>
        <v/>
      </c>
      <c r="AC28" t="str">
        <f ca="1">IF(AND(ISNUMBER($AC$230),$B$185=1),$AC$230,HLOOKUP(INDIRECT(ADDRESS(2,COLUMN())),OFFSET($BN$2,0,0,ROW()-1,60),ROW()-1,FALSE))</f>
        <v/>
      </c>
      <c r="AD28" t="str">
        <f ca="1">IF(AND(ISNUMBER($AD$230),$B$185=1),$AD$230,HLOOKUP(INDIRECT(ADDRESS(2,COLUMN())),OFFSET($BN$2,0,0,ROW()-1,60),ROW()-1,FALSE))</f>
        <v/>
      </c>
      <c r="AE28" t="str">
        <f ca="1">IF(AND(ISNUMBER($AE$230),$B$185=1),$AE$230,HLOOKUP(INDIRECT(ADDRESS(2,COLUMN())),OFFSET($BN$2,0,0,ROW()-1,60),ROW()-1,FALSE))</f>
        <v/>
      </c>
      <c r="AF28" t="str">
        <f ca="1">IF(AND(ISNUMBER($AF$230),$B$185=1),$AF$230,HLOOKUP(INDIRECT(ADDRESS(2,COLUMN())),OFFSET($BN$2,0,0,ROW()-1,60),ROW()-1,FALSE))</f>
        <v/>
      </c>
      <c r="AG28" t="str">
        <f ca="1">IF(AND(ISNUMBER($AG$230),$B$185=1),$AG$230,HLOOKUP(INDIRECT(ADDRESS(2,COLUMN())),OFFSET($BN$2,0,0,ROW()-1,60),ROW()-1,FALSE))</f>
        <v/>
      </c>
      <c r="AH28" t="str">
        <f ca="1">IF(AND(ISNUMBER($AH$230),$B$185=1),$AH$230,HLOOKUP(INDIRECT(ADDRESS(2,COLUMN())),OFFSET($BN$2,0,0,ROW()-1,60),ROW()-1,FALSE))</f>
        <v/>
      </c>
      <c r="AI28" t="str">
        <f ca="1">IF(AND(ISNUMBER($AI$230),$B$185=1),$AI$230,HLOOKUP(INDIRECT(ADDRESS(2,COLUMN())),OFFSET($BN$2,0,0,ROW()-1,60),ROW()-1,FALSE))</f>
        <v/>
      </c>
      <c r="AJ28" t="str">
        <f ca="1">IF(AND(ISNUMBER($AJ$230),$B$185=1),$AJ$230,HLOOKUP(INDIRECT(ADDRESS(2,COLUMN())),OFFSET($BN$2,0,0,ROW()-1,60),ROW()-1,FALSE))</f>
        <v/>
      </c>
      <c r="AK28" t="str">
        <f ca="1">IF(AND(ISNUMBER($AK$230),$B$185=1),$AK$230,HLOOKUP(INDIRECT(ADDRESS(2,COLUMN())),OFFSET($BN$2,0,0,ROW()-1,60),ROW()-1,FALSE))</f>
        <v/>
      </c>
      <c r="AL28" t="str">
        <f ca="1">IF(AND(ISNUMBER($AL$230),$B$185=1),$AL$230,HLOOKUP(INDIRECT(ADDRESS(2,COLUMN())),OFFSET($BN$2,0,0,ROW()-1,60),ROW()-1,FALSE))</f>
        <v/>
      </c>
      <c r="AM28" t="str">
        <f ca="1">IF(AND(ISNUMBER($AM$230),$B$185=1),$AM$230,HLOOKUP(INDIRECT(ADDRESS(2,COLUMN())),OFFSET($BN$2,0,0,ROW()-1,60),ROW()-1,FALSE))</f>
        <v/>
      </c>
      <c r="AN28" t="str">
        <f ca="1">IF(AND(ISNUMBER($AN$230),$B$185=1),$AN$230,HLOOKUP(INDIRECT(ADDRESS(2,COLUMN())),OFFSET($BN$2,0,0,ROW()-1,60),ROW()-1,FALSE))</f>
        <v/>
      </c>
      <c r="AO28" t="str">
        <f ca="1">IF(AND(ISNUMBER($AO$230),$B$185=1),$AO$230,HLOOKUP(INDIRECT(ADDRESS(2,COLUMN())),OFFSET($BN$2,0,0,ROW()-1,60),ROW()-1,FALSE))</f>
        <v/>
      </c>
      <c r="AP28" t="str">
        <f ca="1">IF(AND(ISNUMBER($AP$230),$B$185=1),$AP$230,HLOOKUP(INDIRECT(ADDRESS(2,COLUMN())),OFFSET($BN$2,0,0,ROW()-1,60),ROW()-1,FALSE))</f>
        <v/>
      </c>
      <c r="AQ28" t="str">
        <f ca="1">IF(AND(ISNUMBER($AQ$230),$B$185=1),$AQ$230,HLOOKUP(INDIRECT(ADDRESS(2,COLUMN())),OFFSET($BN$2,0,0,ROW()-1,60),ROW()-1,FALSE))</f>
        <v/>
      </c>
      <c r="AR28" t="str">
        <f ca="1">IF(AND(ISNUMBER($AR$230),$B$185=1),$AR$230,HLOOKUP(INDIRECT(ADDRESS(2,COLUMN())),OFFSET($BN$2,0,0,ROW()-1,60),ROW()-1,FALSE))</f>
        <v/>
      </c>
      <c r="AS28" t="str">
        <f ca="1">IF(AND(ISNUMBER($AS$230),$B$185=1),$AS$230,HLOOKUP(INDIRECT(ADDRESS(2,COLUMN())),OFFSET($BN$2,0,0,ROW()-1,60),ROW()-1,FALSE))</f>
        <v/>
      </c>
      <c r="AT28" t="str">
        <f ca="1">IF(AND(ISNUMBER($AT$230),$B$185=1),$AT$230,HLOOKUP(INDIRECT(ADDRESS(2,COLUMN())),OFFSET($BN$2,0,0,ROW()-1,60),ROW()-1,FALSE))</f>
        <v/>
      </c>
      <c r="AU28" t="str">
        <f ca="1">IF(AND(ISNUMBER($AU$230),$B$185=1),$AU$230,HLOOKUP(INDIRECT(ADDRESS(2,COLUMN())),OFFSET($BN$2,0,0,ROW()-1,60),ROW()-1,FALSE))</f>
        <v/>
      </c>
      <c r="AV28" t="str">
        <f ca="1">IF(AND(ISNUMBER($AV$230),$B$185=1),$AV$230,HLOOKUP(INDIRECT(ADDRESS(2,COLUMN())),OFFSET($BN$2,0,0,ROW()-1,60),ROW()-1,FALSE))</f>
        <v/>
      </c>
      <c r="AW28" t="str">
        <f ca="1">IF(AND(ISNUMBER($AW$230),$B$185=1),$AW$230,HLOOKUP(INDIRECT(ADDRESS(2,COLUMN())),OFFSET($BN$2,0,0,ROW()-1,60),ROW()-1,FALSE))</f>
        <v/>
      </c>
      <c r="AX28" t="str">
        <f ca="1">IF(AND(ISNUMBER($AX$230),$B$185=1),$AX$230,HLOOKUP(INDIRECT(ADDRESS(2,COLUMN())),OFFSET($BN$2,0,0,ROW()-1,60),ROW()-1,FALSE))</f>
        <v/>
      </c>
      <c r="AY28" t="str">
        <f ca="1">IF(AND(ISNUMBER($AY$230),$B$185=1),$AY$230,HLOOKUP(INDIRECT(ADDRESS(2,COLUMN())),OFFSET($BN$2,0,0,ROW()-1,60),ROW()-1,FALSE))</f>
        <v/>
      </c>
      <c r="AZ28" t="str">
        <f ca="1">IF(AND(ISNUMBER($AZ$230),$B$185=1),$AZ$230,HLOOKUP(INDIRECT(ADDRESS(2,COLUMN())),OFFSET($BN$2,0,0,ROW()-1,60),ROW()-1,FALSE))</f>
        <v/>
      </c>
      <c r="BA28" t="str">
        <f ca="1">IF(AND(ISNUMBER($BA$230),$B$185=1),$BA$230,HLOOKUP(INDIRECT(ADDRESS(2,COLUMN())),OFFSET($BN$2,0,0,ROW()-1,60),ROW()-1,FALSE))</f>
        <v/>
      </c>
      <c r="BB28" t="str">
        <f ca="1">IF(AND(ISNUMBER($BB$230),$B$185=1),$BB$230,HLOOKUP(INDIRECT(ADDRESS(2,COLUMN())),OFFSET($BN$2,0,0,ROW()-1,60),ROW()-1,FALSE))</f>
        <v/>
      </c>
      <c r="BC28" t="str">
        <f ca="1">IF(AND(ISNUMBER($BC$230),$B$185=1),$BC$230,HLOOKUP(INDIRECT(ADDRESS(2,COLUMN())),OFFSET($BN$2,0,0,ROW()-1,60),ROW()-1,FALSE))</f>
        <v/>
      </c>
      <c r="BD28" t="str">
        <f ca="1">IF(AND(ISNUMBER($BD$230),$B$185=1),$BD$230,HLOOKUP(INDIRECT(ADDRESS(2,COLUMN())),OFFSET($BN$2,0,0,ROW()-1,60),ROW()-1,FALSE))</f>
        <v/>
      </c>
      <c r="BE28" t="str">
        <f ca="1">IF(AND(ISNUMBER($BE$230),$B$185=1),$BE$230,HLOOKUP(INDIRECT(ADDRESS(2,COLUMN())),OFFSET($BN$2,0,0,ROW()-1,60),ROW()-1,FALSE))</f>
        <v/>
      </c>
      <c r="BF28" t="str">
        <f ca="1">IF(AND(ISNUMBER($BF$230),$B$185=1),$BF$230,HLOOKUP(INDIRECT(ADDRESS(2,COLUMN())),OFFSET($BN$2,0,0,ROW()-1,60),ROW()-1,FALSE))</f>
        <v/>
      </c>
      <c r="BG28" t="str">
        <f ca="1">IF(AND(ISNUMBER($BG$230),$B$185=1),$BG$230,HLOOKUP(INDIRECT(ADDRESS(2,COLUMN())),OFFSET($BN$2,0,0,ROW()-1,60),ROW()-1,FALSE))</f>
        <v/>
      </c>
      <c r="BH28" t="str">
        <f ca="1">IF(AND(ISNUMBER($BH$230),$B$185=1),$BH$230,HLOOKUP(INDIRECT(ADDRESS(2,COLUMN())),OFFSET($BN$2,0,0,ROW()-1,60),ROW()-1,FALSE))</f>
        <v/>
      </c>
      <c r="BI28" t="str">
        <f ca="1">IF(AND(ISNUMBER($BI$230),$B$185=1),$BI$230,HLOOKUP(INDIRECT(ADDRESS(2,COLUMN())),OFFSET($BN$2,0,0,ROW()-1,60),ROW()-1,FALSE))</f>
        <v/>
      </c>
      <c r="BJ28" t="str">
        <f ca="1">IF(AND(ISNUMBER($BJ$230),$B$185=1),$BJ$230,HLOOKUP(INDIRECT(ADDRESS(2,COLUMN())),OFFSET($BN$2,0,0,ROW()-1,60),ROW()-1,FALSE))</f>
        <v/>
      </c>
      <c r="BK28" t="str">
        <f ca="1">IF(AND(ISNUMBER($BK$230),$B$185=1),$BK$230,HLOOKUP(INDIRECT(ADDRESS(2,COLUMN())),OFFSET($BN$2,0,0,ROW()-1,60),ROW()-1,FALSE))</f>
        <v/>
      </c>
      <c r="BL28" t="str">
        <f ca="1">IF(AND(ISNUMBER($BL$230),$B$185=1),$BL$230,HLOOKUP(INDIRECT(ADDRESS(2,COLUMN())),OFFSET($BN$2,0,0,ROW()-1,60),ROW()-1,FALSE))</f>
        <v/>
      </c>
      <c r="BM28" t="str">
        <f ca="1">IF(AND(ISNUMBER($BM$230),$B$185=1),$BM$230,HLOOKUP(INDIRECT(ADDRESS(2,COLUMN())),OFFSET($BN$2,0,0,ROW()-1,60),ROW()-1,FALSE))</f>
        <v/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  <c r="BT28" t="str">
        <f>""</f>
        <v/>
      </c>
      <c r="BU28" t="str">
        <f>""</f>
        <v/>
      </c>
      <c r="BV28" t="str">
        <f>""</f>
        <v/>
      </c>
      <c r="BW28" t="str">
        <f>""</f>
        <v/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  <c r="CI28" t="str">
        <f>""</f>
        <v/>
      </c>
      <c r="CJ28" t="str">
        <f>""</f>
        <v/>
      </c>
      <c r="CK28" t="str">
        <f>""</f>
        <v/>
      </c>
      <c r="CL28" t="str">
        <f>""</f>
        <v/>
      </c>
      <c r="CM28" t="str">
        <f>""</f>
        <v/>
      </c>
      <c r="CN28" t="str">
        <f>""</f>
        <v/>
      </c>
      <c r="CO28" t="str">
        <f>""</f>
        <v/>
      </c>
      <c r="CP28" t="str">
        <f>""</f>
        <v/>
      </c>
      <c r="CQ28" t="str">
        <f>""</f>
        <v/>
      </c>
      <c r="CR28" t="str">
        <f>""</f>
        <v/>
      </c>
      <c r="CS28" t="str">
        <f>""</f>
        <v/>
      </c>
      <c r="CT28" t="str">
        <f>""</f>
        <v/>
      </c>
      <c r="CU28" t="str">
        <f>""</f>
        <v/>
      </c>
      <c r="CV28" t="str">
        <f>""</f>
        <v/>
      </c>
      <c r="CW28" t="str">
        <f>""</f>
        <v/>
      </c>
      <c r="CX28" t="str">
        <f>""</f>
        <v/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>
      <c r="A29" t="str">
        <f>"    Comerica Inc"</f>
        <v xml:space="preserve">    Comerica Inc</v>
      </c>
      <c r="B29" t="str">
        <f>"CMA US Equity"</f>
        <v>CMA US Equity</v>
      </c>
      <c r="C29" t="str">
        <f t="shared" si="1"/>
        <v>A0621</v>
      </c>
      <c r="D29" t="str">
        <f t="shared" si="2"/>
        <v>ARD_MORTGAGE_BANKING_REVENUE</v>
      </c>
      <c r="E29" t="str">
        <f t="shared" si="3"/>
        <v>Dynamic</v>
      </c>
      <c r="F29" t="str">
        <f ca="1">IF(AND(ISNUMBER($F$231),$B$185=1),$F$231,HLOOKUP(INDIRECT(ADDRESS(2,COLUMN())),OFFSET($BN$2,0,0,ROW()-1,60),ROW()-1,FALSE))</f>
        <v/>
      </c>
      <c r="G29" t="str">
        <f ca="1">IF(AND(ISNUMBER($G$231),$B$185=1),$G$231,HLOOKUP(INDIRECT(ADDRESS(2,COLUMN())),OFFSET($BN$2,0,0,ROW()-1,60),ROW()-1,FALSE))</f>
        <v/>
      </c>
      <c r="H29" t="str">
        <f ca="1">IF(AND(ISNUMBER($H$231),$B$185=1),$H$231,HLOOKUP(INDIRECT(ADDRESS(2,COLUMN())),OFFSET($BN$2,0,0,ROW()-1,60),ROW()-1,FALSE))</f>
        <v/>
      </c>
      <c r="I29" t="str">
        <f ca="1">IF(AND(ISNUMBER($I$231),$B$185=1),$I$231,HLOOKUP(INDIRECT(ADDRESS(2,COLUMN())),OFFSET($BN$2,0,0,ROW()-1,60),ROW()-1,FALSE))</f>
        <v/>
      </c>
      <c r="J29" t="str">
        <f ca="1">IF(AND(ISNUMBER($J$231),$B$185=1),$J$231,HLOOKUP(INDIRECT(ADDRESS(2,COLUMN())),OFFSET($BN$2,0,0,ROW()-1,60),ROW()-1,FALSE))</f>
        <v/>
      </c>
      <c r="K29" t="str">
        <f ca="1">IF(AND(ISNUMBER($K$231),$B$185=1),$K$231,HLOOKUP(INDIRECT(ADDRESS(2,COLUMN())),OFFSET($BN$2,0,0,ROW()-1,60),ROW()-1,FALSE))</f>
        <v/>
      </c>
      <c r="L29" t="str">
        <f ca="1">IF(AND(ISNUMBER($L$231),$B$185=1),$L$231,HLOOKUP(INDIRECT(ADDRESS(2,COLUMN())),OFFSET($BN$2,0,0,ROW()-1,60),ROW()-1,FALSE))</f>
        <v/>
      </c>
      <c r="M29" t="str">
        <f ca="1">IF(AND(ISNUMBER($M$231),$B$185=1),$M$231,HLOOKUP(INDIRECT(ADDRESS(2,COLUMN())),OFFSET($BN$2,0,0,ROW()-1,60),ROW()-1,FALSE))</f>
        <v/>
      </c>
      <c r="N29" t="str">
        <f ca="1">IF(AND(ISNUMBER($N$231),$B$185=1),$N$231,HLOOKUP(INDIRECT(ADDRESS(2,COLUMN())),OFFSET($BN$2,0,0,ROW()-1,60),ROW()-1,FALSE))</f>
        <v/>
      </c>
      <c r="O29" t="str">
        <f ca="1">IF(AND(ISNUMBER($O$231),$B$185=1),$O$231,HLOOKUP(INDIRECT(ADDRESS(2,COLUMN())),OFFSET($BN$2,0,0,ROW()-1,60),ROW()-1,FALSE))</f>
        <v/>
      </c>
      <c r="P29" t="str">
        <f ca="1">IF(AND(ISNUMBER($P$231),$B$185=1),$P$231,HLOOKUP(INDIRECT(ADDRESS(2,COLUMN())),OFFSET($BN$2,0,0,ROW()-1,60),ROW()-1,FALSE))</f>
        <v/>
      </c>
      <c r="Q29" t="str">
        <f ca="1">IF(AND(ISNUMBER($Q$231),$B$185=1),$Q$231,HLOOKUP(INDIRECT(ADDRESS(2,COLUMN())),OFFSET($BN$2,0,0,ROW()-1,60),ROW()-1,FALSE))</f>
        <v/>
      </c>
      <c r="R29" t="str">
        <f ca="1">IF(AND(ISNUMBER($R$231),$B$185=1),$R$231,HLOOKUP(INDIRECT(ADDRESS(2,COLUMN())),OFFSET($BN$2,0,0,ROW()-1,60),ROW()-1,FALSE))</f>
        <v/>
      </c>
      <c r="S29" t="str">
        <f ca="1">IF(AND(ISNUMBER($S$231),$B$185=1),$S$231,HLOOKUP(INDIRECT(ADDRESS(2,COLUMN())),OFFSET($BN$2,0,0,ROW()-1,60),ROW()-1,FALSE))</f>
        <v/>
      </c>
      <c r="T29" t="str">
        <f ca="1">IF(AND(ISNUMBER($T$231),$B$185=1),$T$231,HLOOKUP(INDIRECT(ADDRESS(2,COLUMN())),OFFSET($BN$2,0,0,ROW()-1,60),ROW()-1,FALSE))</f>
        <v/>
      </c>
      <c r="U29" t="str">
        <f ca="1">IF(AND(ISNUMBER($U$231),$B$185=1),$U$231,HLOOKUP(INDIRECT(ADDRESS(2,COLUMN())),OFFSET($BN$2,0,0,ROW()-1,60),ROW()-1,FALSE))</f>
        <v/>
      </c>
      <c r="V29" t="str">
        <f ca="1">IF(AND(ISNUMBER($V$231),$B$185=1),$V$231,HLOOKUP(INDIRECT(ADDRESS(2,COLUMN())),OFFSET($BN$2,0,0,ROW()-1,60),ROW()-1,FALSE))</f>
        <v/>
      </c>
      <c r="W29" t="str">
        <f ca="1">IF(AND(ISNUMBER($W$231),$B$185=1),$W$231,HLOOKUP(INDIRECT(ADDRESS(2,COLUMN())),OFFSET($BN$2,0,0,ROW()-1,60),ROW()-1,FALSE))</f>
        <v/>
      </c>
      <c r="X29" t="str">
        <f ca="1">IF(AND(ISNUMBER($X$231),$B$185=1),$X$231,HLOOKUP(INDIRECT(ADDRESS(2,COLUMN())),OFFSET($BN$2,0,0,ROW()-1,60),ROW()-1,FALSE))</f>
        <v/>
      </c>
      <c r="Y29" t="str">
        <f ca="1">IF(AND(ISNUMBER($Y$231),$B$185=1),$Y$231,HLOOKUP(INDIRECT(ADDRESS(2,COLUMN())),OFFSET($BN$2,0,0,ROW()-1,60),ROW()-1,FALSE))</f>
        <v/>
      </c>
      <c r="Z29" t="str">
        <f ca="1">IF(AND(ISNUMBER($Z$231),$B$185=1),$Z$231,HLOOKUP(INDIRECT(ADDRESS(2,COLUMN())),OFFSET($BN$2,0,0,ROW()-1,60),ROW()-1,FALSE))</f>
        <v/>
      </c>
      <c r="AA29" t="str">
        <f ca="1">IF(AND(ISNUMBER($AA$231),$B$185=1),$AA$231,HLOOKUP(INDIRECT(ADDRESS(2,COLUMN())),OFFSET($BN$2,0,0,ROW()-1,60),ROW()-1,FALSE))</f>
        <v/>
      </c>
      <c r="AB29" t="str">
        <f ca="1">IF(AND(ISNUMBER($AB$231),$B$185=1),$AB$231,HLOOKUP(INDIRECT(ADDRESS(2,COLUMN())),OFFSET($BN$2,0,0,ROW()-1,60),ROW()-1,FALSE))</f>
        <v/>
      </c>
      <c r="AC29" t="str">
        <f ca="1">IF(AND(ISNUMBER($AC$231),$B$185=1),$AC$231,HLOOKUP(INDIRECT(ADDRESS(2,COLUMN())),OFFSET($BN$2,0,0,ROW()-1,60),ROW()-1,FALSE))</f>
        <v/>
      </c>
      <c r="AD29" t="str">
        <f ca="1">IF(AND(ISNUMBER($AD$231),$B$185=1),$AD$231,HLOOKUP(INDIRECT(ADDRESS(2,COLUMN())),OFFSET($BN$2,0,0,ROW()-1,60),ROW()-1,FALSE))</f>
        <v/>
      </c>
      <c r="AE29" t="str">
        <f ca="1">IF(AND(ISNUMBER($AE$231),$B$185=1),$AE$231,HLOOKUP(INDIRECT(ADDRESS(2,COLUMN())),OFFSET($BN$2,0,0,ROW()-1,60),ROW()-1,FALSE))</f>
        <v/>
      </c>
      <c r="AF29" t="str">
        <f ca="1">IF(AND(ISNUMBER($AF$231),$B$185=1),$AF$231,HLOOKUP(INDIRECT(ADDRESS(2,COLUMN())),OFFSET($BN$2,0,0,ROW()-1,60),ROW()-1,FALSE))</f>
        <v/>
      </c>
      <c r="AG29" t="str">
        <f ca="1">IF(AND(ISNUMBER($AG$231),$B$185=1),$AG$231,HLOOKUP(INDIRECT(ADDRESS(2,COLUMN())),OFFSET($BN$2,0,0,ROW()-1,60),ROW()-1,FALSE))</f>
        <v/>
      </c>
      <c r="AH29" t="str">
        <f ca="1">IF(AND(ISNUMBER($AH$231),$B$185=1),$AH$231,HLOOKUP(INDIRECT(ADDRESS(2,COLUMN())),OFFSET($BN$2,0,0,ROW()-1,60),ROW()-1,FALSE))</f>
        <v/>
      </c>
      <c r="AI29" t="str">
        <f ca="1">IF(AND(ISNUMBER($AI$231),$B$185=1),$AI$231,HLOOKUP(INDIRECT(ADDRESS(2,COLUMN())),OFFSET($BN$2,0,0,ROW()-1,60),ROW()-1,FALSE))</f>
        <v/>
      </c>
      <c r="AJ29" t="str">
        <f ca="1">IF(AND(ISNUMBER($AJ$231),$B$185=1),$AJ$231,HLOOKUP(INDIRECT(ADDRESS(2,COLUMN())),OFFSET($BN$2,0,0,ROW()-1,60),ROW()-1,FALSE))</f>
        <v/>
      </c>
      <c r="AK29" t="str">
        <f ca="1">IF(AND(ISNUMBER($AK$231),$B$185=1),$AK$231,HLOOKUP(INDIRECT(ADDRESS(2,COLUMN())),OFFSET($BN$2,0,0,ROW()-1,60),ROW()-1,FALSE))</f>
        <v/>
      </c>
      <c r="AL29" t="str">
        <f ca="1">IF(AND(ISNUMBER($AL$231),$B$185=1),$AL$231,HLOOKUP(INDIRECT(ADDRESS(2,COLUMN())),OFFSET($BN$2,0,0,ROW()-1,60),ROW()-1,FALSE))</f>
        <v/>
      </c>
      <c r="AM29" t="str">
        <f ca="1">IF(AND(ISNUMBER($AM$231),$B$185=1),$AM$231,HLOOKUP(INDIRECT(ADDRESS(2,COLUMN())),OFFSET($BN$2,0,0,ROW()-1,60),ROW()-1,FALSE))</f>
        <v/>
      </c>
      <c r="AN29" t="str">
        <f ca="1">IF(AND(ISNUMBER($AN$231),$B$185=1),$AN$231,HLOOKUP(INDIRECT(ADDRESS(2,COLUMN())),OFFSET($BN$2,0,0,ROW()-1,60),ROW()-1,FALSE))</f>
        <v/>
      </c>
      <c r="AO29" t="str">
        <f ca="1">IF(AND(ISNUMBER($AO$231),$B$185=1),$AO$231,HLOOKUP(INDIRECT(ADDRESS(2,COLUMN())),OFFSET($BN$2,0,0,ROW()-1,60),ROW()-1,FALSE))</f>
        <v/>
      </c>
      <c r="AP29" t="str">
        <f ca="1">IF(AND(ISNUMBER($AP$231),$B$185=1),$AP$231,HLOOKUP(INDIRECT(ADDRESS(2,COLUMN())),OFFSET($BN$2,0,0,ROW()-1,60),ROW()-1,FALSE))</f>
        <v/>
      </c>
      <c r="AQ29" t="str">
        <f ca="1">IF(AND(ISNUMBER($AQ$231),$B$185=1),$AQ$231,HLOOKUP(INDIRECT(ADDRESS(2,COLUMN())),OFFSET($BN$2,0,0,ROW()-1,60),ROW()-1,FALSE))</f>
        <v/>
      </c>
      <c r="AR29" t="str">
        <f ca="1">IF(AND(ISNUMBER($AR$231),$B$185=1),$AR$231,HLOOKUP(INDIRECT(ADDRESS(2,COLUMN())),OFFSET($BN$2,0,0,ROW()-1,60),ROW()-1,FALSE))</f>
        <v/>
      </c>
      <c r="AS29" t="str">
        <f ca="1">IF(AND(ISNUMBER($AS$231),$B$185=1),$AS$231,HLOOKUP(INDIRECT(ADDRESS(2,COLUMN())),OFFSET($BN$2,0,0,ROW()-1,60),ROW()-1,FALSE))</f>
        <v/>
      </c>
      <c r="AT29" t="str">
        <f ca="1">IF(AND(ISNUMBER($AT$231),$B$185=1),$AT$231,HLOOKUP(INDIRECT(ADDRESS(2,COLUMN())),OFFSET($BN$2,0,0,ROW()-1,60),ROW()-1,FALSE))</f>
        <v/>
      </c>
      <c r="AU29" t="str">
        <f ca="1">IF(AND(ISNUMBER($AU$231),$B$185=1),$AU$231,HLOOKUP(INDIRECT(ADDRESS(2,COLUMN())),OFFSET($BN$2,0,0,ROW()-1,60),ROW()-1,FALSE))</f>
        <v/>
      </c>
      <c r="AV29" t="str">
        <f ca="1">IF(AND(ISNUMBER($AV$231),$B$185=1),$AV$231,HLOOKUP(INDIRECT(ADDRESS(2,COLUMN())),OFFSET($BN$2,0,0,ROW()-1,60),ROW()-1,FALSE))</f>
        <v/>
      </c>
      <c r="AW29" t="str">
        <f ca="1">IF(AND(ISNUMBER($AW$231),$B$185=1),$AW$231,HLOOKUP(INDIRECT(ADDRESS(2,COLUMN())),OFFSET($BN$2,0,0,ROW()-1,60),ROW()-1,FALSE))</f>
        <v/>
      </c>
      <c r="AX29" t="str">
        <f ca="1">IF(AND(ISNUMBER($AX$231),$B$185=1),$AX$231,HLOOKUP(INDIRECT(ADDRESS(2,COLUMN())),OFFSET($BN$2,0,0,ROW()-1,60),ROW()-1,FALSE))</f>
        <v/>
      </c>
      <c r="AY29" t="str">
        <f ca="1">IF(AND(ISNUMBER($AY$231),$B$185=1),$AY$231,HLOOKUP(INDIRECT(ADDRESS(2,COLUMN())),OFFSET($BN$2,0,0,ROW()-1,60),ROW()-1,FALSE))</f>
        <v/>
      </c>
      <c r="AZ29" t="str">
        <f ca="1">IF(AND(ISNUMBER($AZ$231),$B$185=1),$AZ$231,HLOOKUP(INDIRECT(ADDRESS(2,COLUMN())),OFFSET($BN$2,0,0,ROW()-1,60),ROW()-1,FALSE))</f>
        <v/>
      </c>
      <c r="BA29" t="str">
        <f ca="1">IF(AND(ISNUMBER($BA$231),$B$185=1),$BA$231,HLOOKUP(INDIRECT(ADDRESS(2,COLUMN())),OFFSET($BN$2,0,0,ROW()-1,60),ROW()-1,FALSE))</f>
        <v/>
      </c>
      <c r="BB29" t="str">
        <f ca="1">IF(AND(ISNUMBER($BB$231),$B$185=1),$BB$231,HLOOKUP(INDIRECT(ADDRESS(2,COLUMN())),OFFSET($BN$2,0,0,ROW()-1,60),ROW()-1,FALSE))</f>
        <v/>
      </c>
      <c r="BC29" t="str">
        <f ca="1">IF(AND(ISNUMBER($BC$231),$B$185=1),$BC$231,HLOOKUP(INDIRECT(ADDRESS(2,COLUMN())),OFFSET($BN$2,0,0,ROW()-1,60),ROW()-1,FALSE))</f>
        <v/>
      </c>
      <c r="BD29" t="str">
        <f ca="1">IF(AND(ISNUMBER($BD$231),$B$185=1),$BD$231,HLOOKUP(INDIRECT(ADDRESS(2,COLUMN())),OFFSET($BN$2,0,0,ROW()-1,60),ROW()-1,FALSE))</f>
        <v/>
      </c>
      <c r="BE29" t="str">
        <f ca="1">IF(AND(ISNUMBER($BE$231),$B$185=1),$BE$231,HLOOKUP(INDIRECT(ADDRESS(2,COLUMN())),OFFSET($BN$2,0,0,ROW()-1,60),ROW()-1,FALSE))</f>
        <v/>
      </c>
      <c r="BF29" t="str">
        <f ca="1">IF(AND(ISNUMBER($BF$231),$B$185=1),$BF$231,HLOOKUP(INDIRECT(ADDRESS(2,COLUMN())),OFFSET($BN$2,0,0,ROW()-1,60),ROW()-1,FALSE))</f>
        <v/>
      </c>
      <c r="BG29" t="str">
        <f ca="1">IF(AND(ISNUMBER($BG$231),$B$185=1),$BG$231,HLOOKUP(INDIRECT(ADDRESS(2,COLUMN())),OFFSET($BN$2,0,0,ROW()-1,60),ROW()-1,FALSE))</f>
        <v/>
      </c>
      <c r="BH29" t="str">
        <f ca="1">IF(AND(ISNUMBER($BH$231),$B$185=1),$BH$231,HLOOKUP(INDIRECT(ADDRESS(2,COLUMN())),OFFSET($BN$2,0,0,ROW()-1,60),ROW()-1,FALSE))</f>
        <v/>
      </c>
      <c r="BI29" t="str">
        <f ca="1">IF(AND(ISNUMBER($BI$231),$B$185=1),$BI$231,HLOOKUP(INDIRECT(ADDRESS(2,COLUMN())),OFFSET($BN$2,0,0,ROW()-1,60),ROW()-1,FALSE))</f>
        <v/>
      </c>
      <c r="BJ29" t="str">
        <f ca="1">IF(AND(ISNUMBER($BJ$231),$B$185=1),$BJ$231,HLOOKUP(INDIRECT(ADDRESS(2,COLUMN())),OFFSET($BN$2,0,0,ROW()-1,60),ROW()-1,FALSE))</f>
        <v/>
      </c>
      <c r="BK29" t="str">
        <f ca="1">IF(AND(ISNUMBER($BK$231),$B$185=1),$BK$231,HLOOKUP(INDIRECT(ADDRESS(2,COLUMN())),OFFSET($BN$2,0,0,ROW()-1,60),ROW()-1,FALSE))</f>
        <v/>
      </c>
      <c r="BL29" t="str">
        <f ca="1">IF(AND(ISNUMBER($BL$231),$B$185=1),$BL$231,HLOOKUP(INDIRECT(ADDRESS(2,COLUMN())),OFFSET($BN$2,0,0,ROW()-1,60),ROW()-1,FALSE))</f>
        <v/>
      </c>
      <c r="BM29" t="str">
        <f ca="1">IF(AND(ISNUMBER($BM$231),$B$185=1),$BM$231,HLOOKUP(INDIRECT(ADDRESS(2,COLUMN())),OFFSET($BN$2,0,0,ROW()-1,60),ROW()-1,FALSE))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 t="str">
        <f>""</f>
        <v/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 t="str">
        <f>""</f>
        <v/>
      </c>
      <c r="DQ29" t="str">
        <f>""</f>
        <v/>
      </c>
      <c r="DR29" t="str">
        <f>""</f>
        <v/>
      </c>
      <c r="DS29" t="str">
        <f>""</f>
        <v/>
      </c>
      <c r="DT29" t="str">
        <f>""</f>
        <v/>
      </c>
      <c r="DU29" t="str">
        <f>""</f>
        <v/>
      </c>
    </row>
    <row r="30" spans="1:125">
      <c r="A30" t="str">
        <f>"    East West Bancorp Inc"</f>
        <v xml:space="preserve">    East West Bancorp Inc</v>
      </c>
      <c r="B30" t="str">
        <f>"EWBC US Equity"</f>
        <v>EWBC US Equity</v>
      </c>
      <c r="C30" t="str">
        <f t="shared" si="1"/>
        <v>A0621</v>
      </c>
      <c r="D30" t="str">
        <f t="shared" si="2"/>
        <v>ARD_MORTGAGE_BANKING_REVENUE</v>
      </c>
      <c r="E30" t="str">
        <f t="shared" si="3"/>
        <v>Dynamic</v>
      </c>
      <c r="F30" t="str">
        <f ca="1">IF(AND(ISNUMBER($F$232),$B$185=1),$F$232,HLOOKUP(INDIRECT(ADDRESS(2,COLUMN())),OFFSET($BN$2,0,0,ROW()-1,60),ROW()-1,FALSE))</f>
        <v/>
      </c>
      <c r="G30" t="str">
        <f ca="1">IF(AND(ISNUMBER($G$232),$B$185=1),$G$232,HLOOKUP(INDIRECT(ADDRESS(2,COLUMN())),OFFSET($BN$2,0,0,ROW()-1,60),ROW()-1,FALSE))</f>
        <v/>
      </c>
      <c r="H30" t="str">
        <f ca="1">IF(AND(ISNUMBER($H$232),$B$185=1),$H$232,HLOOKUP(INDIRECT(ADDRESS(2,COLUMN())),OFFSET($BN$2,0,0,ROW()-1,60),ROW()-1,FALSE))</f>
        <v/>
      </c>
      <c r="I30" t="str">
        <f ca="1">IF(AND(ISNUMBER($I$232),$B$185=1),$I$232,HLOOKUP(INDIRECT(ADDRESS(2,COLUMN())),OFFSET($BN$2,0,0,ROW()-1,60),ROW()-1,FALSE))</f>
        <v/>
      </c>
      <c r="J30" t="str">
        <f ca="1">IF(AND(ISNUMBER($J$232),$B$185=1),$J$232,HLOOKUP(INDIRECT(ADDRESS(2,COLUMN())),OFFSET($BN$2,0,0,ROW()-1,60),ROW()-1,FALSE))</f>
        <v/>
      </c>
      <c r="K30" t="str">
        <f ca="1">IF(AND(ISNUMBER($K$232),$B$185=1),$K$232,HLOOKUP(INDIRECT(ADDRESS(2,COLUMN())),OFFSET($BN$2,0,0,ROW()-1,60),ROW()-1,FALSE))</f>
        <v/>
      </c>
      <c r="L30" t="str">
        <f ca="1">IF(AND(ISNUMBER($L$232),$B$185=1),$L$232,HLOOKUP(INDIRECT(ADDRESS(2,COLUMN())),OFFSET($BN$2,0,0,ROW()-1,60),ROW()-1,FALSE))</f>
        <v/>
      </c>
      <c r="M30" t="str">
        <f ca="1">IF(AND(ISNUMBER($M$232),$B$185=1),$M$232,HLOOKUP(INDIRECT(ADDRESS(2,COLUMN())),OFFSET($BN$2,0,0,ROW()-1,60),ROW()-1,FALSE))</f>
        <v/>
      </c>
      <c r="N30" t="str">
        <f ca="1">IF(AND(ISNUMBER($N$232),$B$185=1),$N$232,HLOOKUP(INDIRECT(ADDRESS(2,COLUMN())),OFFSET($BN$2,0,0,ROW()-1,60),ROW()-1,FALSE))</f>
        <v/>
      </c>
      <c r="O30" t="str">
        <f ca="1">IF(AND(ISNUMBER($O$232),$B$185=1),$O$232,HLOOKUP(INDIRECT(ADDRESS(2,COLUMN())),OFFSET($BN$2,0,0,ROW()-1,60),ROW()-1,FALSE))</f>
        <v/>
      </c>
      <c r="P30" t="str">
        <f ca="1">IF(AND(ISNUMBER($P$232),$B$185=1),$P$232,HLOOKUP(INDIRECT(ADDRESS(2,COLUMN())),OFFSET($BN$2,0,0,ROW()-1,60),ROW()-1,FALSE))</f>
        <v/>
      </c>
      <c r="Q30" t="str">
        <f ca="1">IF(AND(ISNUMBER($Q$232),$B$185=1),$Q$232,HLOOKUP(INDIRECT(ADDRESS(2,COLUMN())),OFFSET($BN$2,0,0,ROW()-1,60),ROW()-1,FALSE))</f>
        <v/>
      </c>
      <c r="R30" t="str">
        <f ca="1">IF(AND(ISNUMBER($R$232),$B$185=1),$R$232,HLOOKUP(INDIRECT(ADDRESS(2,COLUMN())),OFFSET($BN$2,0,0,ROW()-1,60),ROW()-1,FALSE))</f>
        <v/>
      </c>
      <c r="S30" t="str">
        <f ca="1">IF(AND(ISNUMBER($S$232),$B$185=1),$S$232,HLOOKUP(INDIRECT(ADDRESS(2,COLUMN())),OFFSET($BN$2,0,0,ROW()-1,60),ROW()-1,FALSE))</f>
        <v/>
      </c>
      <c r="T30" t="str">
        <f ca="1">IF(AND(ISNUMBER($T$232),$B$185=1),$T$232,HLOOKUP(INDIRECT(ADDRESS(2,COLUMN())),OFFSET($BN$2,0,0,ROW()-1,60),ROW()-1,FALSE))</f>
        <v/>
      </c>
      <c r="U30" t="str">
        <f ca="1">IF(AND(ISNUMBER($U$232),$B$185=1),$U$232,HLOOKUP(INDIRECT(ADDRESS(2,COLUMN())),OFFSET($BN$2,0,0,ROW()-1,60),ROW()-1,FALSE))</f>
        <v/>
      </c>
      <c r="V30" t="str">
        <f ca="1">IF(AND(ISNUMBER($V$232),$B$185=1),$V$232,HLOOKUP(INDIRECT(ADDRESS(2,COLUMN())),OFFSET($BN$2,0,0,ROW()-1,60),ROW()-1,FALSE))</f>
        <v/>
      </c>
      <c r="W30" t="str">
        <f ca="1">IF(AND(ISNUMBER($W$232),$B$185=1),$W$232,HLOOKUP(INDIRECT(ADDRESS(2,COLUMN())),OFFSET($BN$2,0,0,ROW()-1,60),ROW()-1,FALSE))</f>
        <v/>
      </c>
      <c r="X30" t="str">
        <f ca="1">IF(AND(ISNUMBER($X$232),$B$185=1),$X$232,HLOOKUP(INDIRECT(ADDRESS(2,COLUMN())),OFFSET($BN$2,0,0,ROW()-1,60),ROW()-1,FALSE))</f>
        <v/>
      </c>
      <c r="Y30" t="str">
        <f ca="1">IF(AND(ISNUMBER($Y$232),$B$185=1),$Y$232,HLOOKUP(INDIRECT(ADDRESS(2,COLUMN())),OFFSET($BN$2,0,0,ROW()-1,60),ROW()-1,FALSE))</f>
        <v/>
      </c>
      <c r="Z30" t="str">
        <f ca="1">IF(AND(ISNUMBER($Z$232),$B$185=1),$Z$232,HLOOKUP(INDIRECT(ADDRESS(2,COLUMN())),OFFSET($BN$2,0,0,ROW()-1,60),ROW()-1,FALSE))</f>
        <v/>
      </c>
      <c r="AA30" t="str">
        <f ca="1">IF(AND(ISNUMBER($AA$232),$B$185=1),$AA$232,HLOOKUP(INDIRECT(ADDRESS(2,COLUMN())),OFFSET($BN$2,0,0,ROW()-1,60),ROW()-1,FALSE))</f>
        <v/>
      </c>
      <c r="AB30" t="str">
        <f ca="1">IF(AND(ISNUMBER($AB$232),$B$185=1),$AB$232,HLOOKUP(INDIRECT(ADDRESS(2,COLUMN())),OFFSET($BN$2,0,0,ROW()-1,60),ROW()-1,FALSE))</f>
        <v/>
      </c>
      <c r="AC30" t="str">
        <f ca="1">IF(AND(ISNUMBER($AC$232),$B$185=1),$AC$232,HLOOKUP(INDIRECT(ADDRESS(2,COLUMN())),OFFSET($BN$2,0,0,ROW()-1,60),ROW()-1,FALSE))</f>
        <v/>
      </c>
      <c r="AD30" t="str">
        <f ca="1">IF(AND(ISNUMBER($AD$232),$B$185=1),$AD$232,HLOOKUP(INDIRECT(ADDRESS(2,COLUMN())),OFFSET($BN$2,0,0,ROW()-1,60),ROW()-1,FALSE))</f>
        <v/>
      </c>
      <c r="AE30" t="str">
        <f ca="1">IF(AND(ISNUMBER($AE$232),$B$185=1),$AE$232,HLOOKUP(INDIRECT(ADDRESS(2,COLUMN())),OFFSET($BN$2,0,0,ROW()-1,60),ROW()-1,FALSE))</f>
        <v/>
      </c>
      <c r="AF30" t="str">
        <f ca="1">IF(AND(ISNUMBER($AF$232),$B$185=1),$AF$232,HLOOKUP(INDIRECT(ADDRESS(2,COLUMN())),OFFSET($BN$2,0,0,ROW()-1,60),ROW()-1,FALSE))</f>
        <v/>
      </c>
      <c r="AG30" t="str">
        <f ca="1">IF(AND(ISNUMBER($AG$232),$B$185=1),$AG$232,HLOOKUP(INDIRECT(ADDRESS(2,COLUMN())),OFFSET($BN$2,0,0,ROW()-1,60),ROW()-1,FALSE))</f>
        <v/>
      </c>
      <c r="AH30" t="str">
        <f ca="1">IF(AND(ISNUMBER($AH$232),$B$185=1),$AH$232,HLOOKUP(INDIRECT(ADDRESS(2,COLUMN())),OFFSET($BN$2,0,0,ROW()-1,60),ROW()-1,FALSE))</f>
        <v/>
      </c>
      <c r="AI30" t="str">
        <f ca="1">IF(AND(ISNUMBER($AI$232),$B$185=1),$AI$232,HLOOKUP(INDIRECT(ADDRESS(2,COLUMN())),OFFSET($BN$2,0,0,ROW()-1,60),ROW()-1,FALSE))</f>
        <v/>
      </c>
      <c r="AJ30" t="str">
        <f ca="1">IF(AND(ISNUMBER($AJ$232),$B$185=1),$AJ$232,HLOOKUP(INDIRECT(ADDRESS(2,COLUMN())),OFFSET($BN$2,0,0,ROW()-1,60),ROW()-1,FALSE))</f>
        <v/>
      </c>
      <c r="AK30" t="str">
        <f ca="1">IF(AND(ISNUMBER($AK$232),$B$185=1),$AK$232,HLOOKUP(INDIRECT(ADDRESS(2,COLUMN())),OFFSET($BN$2,0,0,ROW()-1,60),ROW()-1,FALSE))</f>
        <v/>
      </c>
      <c r="AL30" t="str">
        <f ca="1">IF(AND(ISNUMBER($AL$232),$B$185=1),$AL$232,HLOOKUP(INDIRECT(ADDRESS(2,COLUMN())),OFFSET($BN$2,0,0,ROW()-1,60),ROW()-1,FALSE))</f>
        <v/>
      </c>
      <c r="AM30" t="str">
        <f ca="1">IF(AND(ISNUMBER($AM$232),$B$185=1),$AM$232,HLOOKUP(INDIRECT(ADDRESS(2,COLUMN())),OFFSET($BN$2,0,0,ROW()-1,60),ROW()-1,FALSE))</f>
        <v/>
      </c>
      <c r="AN30" t="str">
        <f ca="1">IF(AND(ISNUMBER($AN$232),$B$185=1),$AN$232,HLOOKUP(INDIRECT(ADDRESS(2,COLUMN())),OFFSET($BN$2,0,0,ROW()-1,60),ROW()-1,FALSE))</f>
        <v/>
      </c>
      <c r="AO30" t="str">
        <f ca="1">IF(AND(ISNUMBER($AO$232),$B$185=1),$AO$232,HLOOKUP(INDIRECT(ADDRESS(2,COLUMN())),OFFSET($BN$2,0,0,ROW()-1,60),ROW()-1,FALSE))</f>
        <v/>
      </c>
      <c r="AP30" t="str">
        <f ca="1">IF(AND(ISNUMBER($AP$232),$B$185=1),$AP$232,HLOOKUP(INDIRECT(ADDRESS(2,COLUMN())),OFFSET($BN$2,0,0,ROW()-1,60),ROW()-1,FALSE))</f>
        <v/>
      </c>
      <c r="AQ30" t="str">
        <f ca="1">IF(AND(ISNUMBER($AQ$232),$B$185=1),$AQ$232,HLOOKUP(INDIRECT(ADDRESS(2,COLUMN())),OFFSET($BN$2,0,0,ROW()-1,60),ROW()-1,FALSE))</f>
        <v/>
      </c>
      <c r="AR30" t="str">
        <f ca="1">IF(AND(ISNUMBER($AR$232),$B$185=1),$AR$232,HLOOKUP(INDIRECT(ADDRESS(2,COLUMN())),OFFSET($BN$2,0,0,ROW()-1,60),ROW()-1,FALSE))</f>
        <v/>
      </c>
      <c r="AS30" t="str">
        <f ca="1">IF(AND(ISNUMBER($AS$232),$B$185=1),$AS$232,HLOOKUP(INDIRECT(ADDRESS(2,COLUMN())),OFFSET($BN$2,0,0,ROW()-1,60),ROW()-1,FALSE))</f>
        <v/>
      </c>
      <c r="AT30" t="str">
        <f ca="1">IF(AND(ISNUMBER($AT$232),$B$185=1),$AT$232,HLOOKUP(INDIRECT(ADDRESS(2,COLUMN())),OFFSET($BN$2,0,0,ROW()-1,60),ROW()-1,FALSE))</f>
        <v/>
      </c>
      <c r="AU30" t="str">
        <f ca="1">IF(AND(ISNUMBER($AU$232),$B$185=1),$AU$232,HLOOKUP(INDIRECT(ADDRESS(2,COLUMN())),OFFSET($BN$2,0,0,ROW()-1,60),ROW()-1,FALSE))</f>
        <v/>
      </c>
      <c r="AV30" t="str">
        <f ca="1">IF(AND(ISNUMBER($AV$232),$B$185=1),$AV$232,HLOOKUP(INDIRECT(ADDRESS(2,COLUMN())),OFFSET($BN$2,0,0,ROW()-1,60),ROW()-1,FALSE))</f>
        <v/>
      </c>
      <c r="AW30" t="str">
        <f ca="1">IF(AND(ISNUMBER($AW$232),$B$185=1),$AW$232,HLOOKUP(INDIRECT(ADDRESS(2,COLUMN())),OFFSET($BN$2,0,0,ROW()-1,60),ROW()-1,FALSE))</f>
        <v/>
      </c>
      <c r="AX30" t="str">
        <f ca="1">IF(AND(ISNUMBER($AX$232),$B$185=1),$AX$232,HLOOKUP(INDIRECT(ADDRESS(2,COLUMN())),OFFSET($BN$2,0,0,ROW()-1,60),ROW()-1,FALSE))</f>
        <v/>
      </c>
      <c r="AY30" t="str">
        <f ca="1">IF(AND(ISNUMBER($AY$232),$B$185=1),$AY$232,HLOOKUP(INDIRECT(ADDRESS(2,COLUMN())),OFFSET($BN$2,0,0,ROW()-1,60),ROW()-1,FALSE))</f>
        <v/>
      </c>
      <c r="AZ30" t="str">
        <f ca="1">IF(AND(ISNUMBER($AZ$232),$B$185=1),$AZ$232,HLOOKUP(INDIRECT(ADDRESS(2,COLUMN())),OFFSET($BN$2,0,0,ROW()-1,60),ROW()-1,FALSE))</f>
        <v/>
      </c>
      <c r="BA30" t="str">
        <f ca="1">IF(AND(ISNUMBER($BA$232),$B$185=1),$BA$232,HLOOKUP(INDIRECT(ADDRESS(2,COLUMN())),OFFSET($BN$2,0,0,ROW()-1,60),ROW()-1,FALSE))</f>
        <v/>
      </c>
      <c r="BB30" t="str">
        <f ca="1">IF(AND(ISNUMBER($BB$232),$B$185=1),$BB$232,HLOOKUP(INDIRECT(ADDRESS(2,COLUMN())),OFFSET($BN$2,0,0,ROW()-1,60),ROW()-1,FALSE))</f>
        <v/>
      </c>
      <c r="BC30" t="str">
        <f ca="1">IF(AND(ISNUMBER($BC$232),$B$185=1),$BC$232,HLOOKUP(INDIRECT(ADDRESS(2,COLUMN())),OFFSET($BN$2,0,0,ROW()-1,60),ROW()-1,FALSE))</f>
        <v/>
      </c>
      <c r="BD30" t="str">
        <f ca="1">IF(AND(ISNUMBER($BD$232),$B$185=1),$BD$232,HLOOKUP(INDIRECT(ADDRESS(2,COLUMN())),OFFSET($BN$2,0,0,ROW()-1,60),ROW()-1,FALSE))</f>
        <v/>
      </c>
      <c r="BE30" t="str">
        <f ca="1">IF(AND(ISNUMBER($BE$232),$B$185=1),$BE$232,HLOOKUP(INDIRECT(ADDRESS(2,COLUMN())),OFFSET($BN$2,0,0,ROW()-1,60),ROW()-1,FALSE))</f>
        <v/>
      </c>
      <c r="BF30" t="str">
        <f ca="1">IF(AND(ISNUMBER($BF$232),$B$185=1),$BF$232,HLOOKUP(INDIRECT(ADDRESS(2,COLUMN())),OFFSET($BN$2,0,0,ROW()-1,60),ROW()-1,FALSE))</f>
        <v/>
      </c>
      <c r="BG30" t="str">
        <f ca="1">IF(AND(ISNUMBER($BG$232),$B$185=1),$BG$232,HLOOKUP(INDIRECT(ADDRESS(2,COLUMN())),OFFSET($BN$2,0,0,ROW()-1,60),ROW()-1,FALSE))</f>
        <v/>
      </c>
      <c r="BH30" t="str">
        <f ca="1">IF(AND(ISNUMBER($BH$232),$B$185=1),$BH$232,HLOOKUP(INDIRECT(ADDRESS(2,COLUMN())),OFFSET($BN$2,0,0,ROW()-1,60),ROW()-1,FALSE))</f>
        <v/>
      </c>
      <c r="BI30" t="str">
        <f ca="1">IF(AND(ISNUMBER($BI$232),$B$185=1),$BI$232,HLOOKUP(INDIRECT(ADDRESS(2,COLUMN())),OFFSET($BN$2,0,0,ROW()-1,60),ROW()-1,FALSE))</f>
        <v/>
      </c>
      <c r="BJ30" t="str">
        <f ca="1">IF(AND(ISNUMBER($BJ$232),$B$185=1),$BJ$232,HLOOKUP(INDIRECT(ADDRESS(2,COLUMN())),OFFSET($BN$2,0,0,ROW()-1,60),ROW()-1,FALSE))</f>
        <v/>
      </c>
      <c r="BK30" t="str">
        <f ca="1">IF(AND(ISNUMBER($BK$232),$B$185=1),$BK$232,HLOOKUP(INDIRECT(ADDRESS(2,COLUMN())),OFFSET($BN$2,0,0,ROW()-1,60),ROW()-1,FALSE))</f>
        <v/>
      </c>
      <c r="BL30" t="str">
        <f ca="1">IF(AND(ISNUMBER($BL$232),$B$185=1),$BL$232,HLOOKUP(INDIRECT(ADDRESS(2,COLUMN())),OFFSET($BN$2,0,0,ROW()-1,60),ROW()-1,FALSE))</f>
        <v/>
      </c>
      <c r="BM30" t="str">
        <f ca="1">IF(AND(ISNUMBER($BM$232),$B$185=1),$BM$232,HLOOKUP(INDIRECT(ADDRESS(2,COLUMN())),OFFSET($BN$2,0,0,ROW()-1,60),ROW()-1,FALSE))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  <c r="BT30" t="str">
        <f>""</f>
        <v/>
      </c>
      <c r="BU30" t="str">
        <f>""</f>
        <v/>
      </c>
      <c r="BV30" t="str">
        <f>""</f>
        <v/>
      </c>
      <c r="BW30" t="str">
        <f>""</f>
        <v/>
      </c>
      <c r="BX30" t="str">
        <f>""</f>
        <v/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  <c r="CI30" t="str">
        <f>""</f>
        <v/>
      </c>
      <c r="CJ30" t="str">
        <f>""</f>
        <v/>
      </c>
      <c r="CK30" t="str">
        <f>""</f>
        <v/>
      </c>
      <c r="CL30" t="str">
        <f>""</f>
        <v/>
      </c>
      <c r="CM30" t="str">
        <f>""</f>
        <v/>
      </c>
      <c r="CN30" t="str">
        <f>""</f>
        <v/>
      </c>
      <c r="CO30" t="str">
        <f>""</f>
        <v/>
      </c>
      <c r="CP30" t="str">
        <f>""</f>
        <v/>
      </c>
      <c r="CQ30" t="str">
        <f>""</f>
        <v/>
      </c>
      <c r="CR30" t="str">
        <f>""</f>
        <v/>
      </c>
      <c r="CS30" t="str">
        <f>""</f>
        <v/>
      </c>
      <c r="CT30" t="str">
        <f>""</f>
        <v/>
      </c>
      <c r="CU30" t="str">
        <f>""</f>
        <v/>
      </c>
      <c r="CV30" t="str">
        <f>""</f>
        <v/>
      </c>
      <c r="CW30" t="str">
        <f>""</f>
        <v/>
      </c>
      <c r="CX30" t="str">
        <f>""</f>
        <v/>
      </c>
      <c r="CY30" t="str">
        <f>""</f>
        <v/>
      </c>
      <c r="CZ30" t="str">
        <f>""</f>
        <v/>
      </c>
      <c r="DA30" t="str">
        <f>""</f>
        <v/>
      </c>
      <c r="DB30" t="str">
        <f>""</f>
        <v/>
      </c>
      <c r="DC30" t="str">
        <f>""</f>
        <v/>
      </c>
      <c r="DD30" t="str">
        <f>""</f>
        <v/>
      </c>
      <c r="DE30" t="str">
        <f>""</f>
        <v/>
      </c>
      <c r="DF30" t="str">
        <f>""</f>
        <v/>
      </c>
      <c r="DG30" t="str">
        <f>""</f>
        <v/>
      </c>
      <c r="DH30" t="str">
        <f>""</f>
        <v/>
      </c>
      <c r="DI30" t="str">
        <f>""</f>
        <v/>
      </c>
      <c r="DJ30" t="str">
        <f>""</f>
        <v/>
      </c>
      <c r="DK30" t="str">
        <f>""</f>
        <v/>
      </c>
      <c r="DL30" t="str">
        <f>""</f>
        <v/>
      </c>
      <c r="DM30" t="str">
        <f>""</f>
        <v/>
      </c>
      <c r="DN30" t="str">
        <f>""</f>
        <v/>
      </c>
      <c r="DO30" t="str">
        <f>""</f>
        <v/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>
      <c r="A31" t="str">
        <f>"    Fifth Third Bancorp"</f>
        <v xml:space="preserve">    Fifth Third Bancorp</v>
      </c>
      <c r="B31" t="str">
        <f>"FITB US Equity"</f>
        <v>FITB US Equity</v>
      </c>
      <c r="C31" t="str">
        <f t="shared" si="1"/>
        <v>A0621</v>
      </c>
      <c r="D31" t="str">
        <f t="shared" si="2"/>
        <v>ARD_MORTGAGE_BANKING_REVENUE</v>
      </c>
      <c r="E31" t="str">
        <f t="shared" si="3"/>
        <v>Dynamic</v>
      </c>
      <c r="F31">
        <f ca="1">IF(AND(ISNUMBER($F$233),$B$185=1),$F$233,HLOOKUP(INDIRECT(ADDRESS(2,COLUMN())),OFFSET($BN$2,0,0,ROW()-1,60),ROW()-1,FALSE))</f>
        <v>57</v>
      </c>
      <c r="G31">
        <f ca="1">IF(AND(ISNUMBER($G$233),$B$185=1),$G$233,HLOOKUP(INDIRECT(ADDRESS(2,COLUMN())),OFFSET($BN$2,0,0,ROW()-1,60),ROW()-1,FALSE))</f>
        <v>50</v>
      </c>
      <c r="H31">
        <f ca="1">IF(AND(ISNUMBER($H$233),$B$185=1),$H$233,HLOOKUP(INDIRECT(ADDRESS(2,COLUMN())),OFFSET($BN$2,0,0,ROW()-1,60),ROW()-1,FALSE))</f>
        <v>50</v>
      </c>
      <c r="I31">
        <f ca="1">IF(AND(ISNUMBER($I$233),$B$185=1),$I$233,HLOOKUP(INDIRECT(ADDRESS(2,COLUMN())),OFFSET($BN$2,0,0,ROW()-1,60),ROW()-1,FALSE))</f>
        <v>54</v>
      </c>
      <c r="J31">
        <f ca="1">IF(AND(ISNUMBER($J$233),$B$185=1),$J$233,HLOOKUP(INDIRECT(ADDRESS(2,COLUMN())),OFFSET($BN$2,0,0,ROW()-1,60),ROW()-1,FALSE))</f>
        <v>66</v>
      </c>
      <c r="K31">
        <f ca="1">IF(AND(ISNUMBER($K$233),$B$185=1),$K$233,HLOOKUP(INDIRECT(ADDRESS(2,COLUMN())),OFFSET($BN$2,0,0,ROW()-1,60),ROW()-1,FALSE))</f>
        <v>57</v>
      </c>
      <c r="L31">
        <f ca="1">IF(AND(ISNUMBER($L$233),$B$185=1),$L$233,HLOOKUP(INDIRECT(ADDRESS(2,COLUMN())),OFFSET($BN$2,0,0,ROW()-1,60),ROW()-1,FALSE))</f>
        <v>59</v>
      </c>
      <c r="M31">
        <f ca="1">IF(AND(ISNUMBER($M$233),$B$185=1),$M$233,HLOOKUP(INDIRECT(ADDRESS(2,COLUMN())),OFFSET($BN$2,0,0,ROW()-1,60),ROW()-1,FALSE))</f>
        <v>69</v>
      </c>
      <c r="N31">
        <f ca="1">IF(AND(ISNUMBER($N$233),$B$185=1),$N$233,HLOOKUP(INDIRECT(ADDRESS(2,COLUMN())),OFFSET($BN$2,0,0,ROW()-1,60),ROW()-1,FALSE))</f>
        <v>63</v>
      </c>
      <c r="O31">
        <f ca="1">IF(AND(ISNUMBER($O$233),$B$185=1),$O$233,HLOOKUP(INDIRECT(ADDRESS(2,COLUMN())),OFFSET($BN$2,0,0,ROW()-1,60),ROW()-1,FALSE))</f>
        <v>69</v>
      </c>
      <c r="P31">
        <f ca="1">IF(AND(ISNUMBER($P$233),$B$185=1),$P$233,HLOOKUP(INDIRECT(ADDRESS(2,COLUMN())),OFFSET($BN$2,0,0,ROW()-1,60),ROW()-1,FALSE))</f>
        <v>31</v>
      </c>
      <c r="Q31">
        <f ca="1">IF(AND(ISNUMBER($Q$233),$B$185=1),$Q$233,HLOOKUP(INDIRECT(ADDRESS(2,COLUMN())),OFFSET($BN$2,0,0,ROW()-1,60),ROW()-1,FALSE))</f>
        <v>52</v>
      </c>
      <c r="R31">
        <f ca="1">IF(AND(ISNUMBER($R$233),$B$185=1),$R$233,HLOOKUP(INDIRECT(ADDRESS(2,COLUMN())),OFFSET($BN$2,0,0,ROW()-1,60),ROW()-1,FALSE))</f>
        <v>35</v>
      </c>
      <c r="S31">
        <f ca="1">IF(AND(ISNUMBER($S$233),$B$185=1),$S$233,HLOOKUP(INDIRECT(ADDRESS(2,COLUMN())),OFFSET($BN$2,0,0,ROW()-1,60),ROW()-1,FALSE))</f>
        <v>86</v>
      </c>
      <c r="T31">
        <f ca="1">IF(AND(ISNUMBER($T$233),$B$185=1),$T$233,HLOOKUP(INDIRECT(ADDRESS(2,COLUMN())),OFFSET($BN$2,0,0,ROW()-1,60),ROW()-1,FALSE))</f>
        <v>64</v>
      </c>
      <c r="U31">
        <f ca="1">IF(AND(ISNUMBER($U$233),$B$185=1),$U$233,HLOOKUP(INDIRECT(ADDRESS(2,COLUMN())),OFFSET($BN$2,0,0,ROW()-1,60),ROW()-1,FALSE))</f>
        <v>85</v>
      </c>
      <c r="V31">
        <f ca="1">IF(AND(ISNUMBER($V$233),$B$185=1),$V$233,HLOOKUP(INDIRECT(ADDRESS(2,COLUMN())),OFFSET($BN$2,0,0,ROW()-1,60),ROW()-1,FALSE))</f>
        <v>25</v>
      </c>
      <c r="W31">
        <f ca="1">IF(AND(ISNUMBER($W$233),$B$185=1),$W$233,HLOOKUP(INDIRECT(ADDRESS(2,COLUMN())),OFFSET($BN$2,0,0,ROW()-1,60),ROW()-1,FALSE))</f>
        <v>76</v>
      </c>
      <c r="X31">
        <f ca="1">IF(AND(ISNUMBER($X$233),$B$185=1),$X$233,HLOOKUP(INDIRECT(ADDRESS(2,COLUMN())),OFFSET($BN$2,0,0,ROW()-1,60),ROW()-1,FALSE))</f>
        <v>99</v>
      </c>
      <c r="Y31">
        <f ca="1">IF(AND(ISNUMBER($Y$233),$B$185=1),$Y$233,HLOOKUP(INDIRECT(ADDRESS(2,COLUMN())),OFFSET($BN$2,0,0,ROW()-1,60),ROW()-1,FALSE))</f>
        <v>120</v>
      </c>
      <c r="Z31">
        <f ca="1">IF(AND(ISNUMBER($Z$233),$B$185=1),$Z$233,HLOOKUP(INDIRECT(ADDRESS(2,COLUMN())),OFFSET($BN$2,0,0,ROW()-1,60),ROW()-1,FALSE))</f>
        <v>73</v>
      </c>
      <c r="AA31">
        <f ca="1">IF(AND(ISNUMBER($AA$233),$B$185=1),$AA$233,HLOOKUP(INDIRECT(ADDRESS(2,COLUMN())),OFFSET($BN$2,0,0,ROW()-1,60),ROW()-1,FALSE))</f>
        <v>95</v>
      </c>
      <c r="AB31">
        <f ca="1">IF(AND(ISNUMBER($AB$233),$B$185=1),$AB$233,HLOOKUP(INDIRECT(ADDRESS(2,COLUMN())),OFFSET($BN$2,0,0,ROW()-1,60),ROW()-1,FALSE))</f>
        <v>63</v>
      </c>
      <c r="AC31">
        <f ca="1">IF(AND(ISNUMBER($AC$233),$B$185=1),$AC$233,HLOOKUP(INDIRECT(ADDRESS(2,COLUMN())),OFFSET($BN$2,0,0,ROW()-1,60),ROW()-1,FALSE))</f>
        <v>56</v>
      </c>
      <c r="AD31">
        <f ca="1">IF(AND(ISNUMBER($AD$233),$B$185=1),$AD$233,HLOOKUP(INDIRECT(ADDRESS(2,COLUMN())),OFFSET($BN$2,0,0,ROW()-1,60),ROW()-1,FALSE))</f>
        <v>54</v>
      </c>
      <c r="AE31">
        <f ca="1">IF(AND(ISNUMBER($AE$233),$B$185=1),$AE$233,HLOOKUP(INDIRECT(ADDRESS(2,COLUMN())),OFFSET($BN$2,0,0,ROW()-1,60),ROW()-1,FALSE))</f>
        <v>49</v>
      </c>
      <c r="AF31">
        <f ca="1">IF(AND(ISNUMBER($AF$233),$B$185=1),$AF$233,HLOOKUP(INDIRECT(ADDRESS(2,COLUMN())),OFFSET($BN$2,0,0,ROW()-1,60),ROW()-1,FALSE))</f>
        <v>53</v>
      </c>
      <c r="AG31">
        <f ca="1">IF(AND(ISNUMBER($AG$233),$B$185=1),$AG$233,HLOOKUP(INDIRECT(ADDRESS(2,COLUMN())),OFFSET($BN$2,0,0,ROW()-1,60),ROW()-1,FALSE))</f>
        <v>56</v>
      </c>
      <c r="AH31">
        <f ca="1">IF(AND(ISNUMBER($AH$233),$B$185=1),$AH$233,HLOOKUP(INDIRECT(ADDRESS(2,COLUMN())),OFFSET($BN$2,0,0,ROW()-1,60),ROW()-1,FALSE))</f>
        <v>54</v>
      </c>
      <c r="AI31">
        <f ca="1">IF(AND(ISNUMBER($AI$233),$B$185=1),$AI$233,HLOOKUP(INDIRECT(ADDRESS(2,COLUMN())),OFFSET($BN$2,0,0,ROW()-1,60),ROW()-1,FALSE))</f>
        <v>63</v>
      </c>
      <c r="AJ31">
        <f ca="1">IF(AND(ISNUMBER($AJ$233),$B$185=1),$AJ$233,HLOOKUP(INDIRECT(ADDRESS(2,COLUMN())),OFFSET($BN$2,0,0,ROW()-1,60),ROW()-1,FALSE))</f>
        <v>55</v>
      </c>
      <c r="AK31">
        <f ca="1">IF(AND(ISNUMBER($AK$233),$B$185=1),$AK$233,HLOOKUP(INDIRECT(ADDRESS(2,COLUMN())),OFFSET($BN$2,0,0,ROW()-1,60),ROW()-1,FALSE))</f>
        <v>52</v>
      </c>
      <c r="AL31">
        <f ca="1">IF(AND(ISNUMBER($AL$233),$B$185=1),$AL$233,HLOOKUP(INDIRECT(ADDRESS(2,COLUMN())),OFFSET($BN$2,0,0,ROW()-1,60),ROW()-1,FALSE))</f>
        <v>65</v>
      </c>
      <c r="AM31">
        <f ca="1">IF(AND(ISNUMBER($AM$233),$B$185=1),$AM$233,HLOOKUP(INDIRECT(ADDRESS(2,COLUMN())),OFFSET($BN$2,0,0,ROW()-1,60),ROW()-1,FALSE))</f>
        <v>66</v>
      </c>
      <c r="AN31">
        <f ca="1">IF(AND(ISNUMBER($AN$233),$B$185=1),$AN$233,HLOOKUP(INDIRECT(ADDRESS(2,COLUMN())),OFFSET($BN$2,0,0,ROW()-1,60),ROW()-1,FALSE))</f>
        <v>75</v>
      </c>
      <c r="AO31">
        <f ca="1">IF(AND(ISNUMBER($AO$233),$B$185=1),$AO$233,HLOOKUP(INDIRECT(ADDRESS(2,COLUMN())),OFFSET($BN$2,0,0,ROW()-1,60),ROW()-1,FALSE))</f>
        <v>78</v>
      </c>
      <c r="AP31">
        <f ca="1">IF(AND(ISNUMBER($AP$233),$B$185=1),$AP$233,HLOOKUP(INDIRECT(ADDRESS(2,COLUMN())),OFFSET($BN$2,0,0,ROW()-1,60),ROW()-1,FALSE))</f>
        <v>74</v>
      </c>
      <c r="AQ31">
        <f ca="1">IF(AND(ISNUMBER($AQ$233),$B$185=1),$AQ$233,HLOOKUP(INDIRECT(ADDRESS(2,COLUMN())),OFFSET($BN$2,0,0,ROW()-1,60),ROW()-1,FALSE))</f>
        <v>71</v>
      </c>
      <c r="AR31">
        <f ca="1">IF(AND(ISNUMBER($AR$233),$B$185=1),$AR$233,HLOOKUP(INDIRECT(ADDRESS(2,COLUMN())),OFFSET($BN$2,0,0,ROW()-1,60),ROW()-1,FALSE))</f>
        <v>117</v>
      </c>
      <c r="AS31">
        <f ca="1">IF(AND(ISNUMBER($AS$233),$B$185=1),$AS$233,HLOOKUP(INDIRECT(ADDRESS(2,COLUMN())),OFFSET($BN$2,0,0,ROW()-1,60),ROW()-1,FALSE))</f>
        <v>86</v>
      </c>
      <c r="AT31">
        <f ca="1">IF(AND(ISNUMBER($AT$233),$B$185=1),$AT$233,HLOOKUP(INDIRECT(ADDRESS(2,COLUMN())),OFFSET($BN$2,0,0,ROW()-1,60),ROW()-1,FALSE))</f>
        <v>61</v>
      </c>
      <c r="AU31">
        <f ca="1">IF(AND(ISNUMBER($AU$233),$B$185=1),$AU$233,HLOOKUP(INDIRECT(ADDRESS(2,COLUMN())),OFFSET($BN$2,0,0,ROW()-1,60),ROW()-1,FALSE))</f>
        <v>61</v>
      </c>
      <c r="AV31">
        <f ca="1">IF(AND(ISNUMBER($AV$233),$B$185=1),$AV$233,HLOOKUP(INDIRECT(ADDRESS(2,COLUMN())),OFFSET($BN$2,0,0,ROW()-1,60),ROW()-1,FALSE))</f>
        <v>78</v>
      </c>
      <c r="AW31">
        <f ca="1">IF(AND(ISNUMBER($AW$233),$B$185=1),$AW$233,HLOOKUP(INDIRECT(ADDRESS(2,COLUMN())),OFFSET($BN$2,0,0,ROW()-1,60),ROW()-1,FALSE))</f>
        <v>109</v>
      </c>
      <c r="AX31">
        <f ca="1">IF(AND(ISNUMBER($AX$233),$B$185=1),$AX$233,HLOOKUP(INDIRECT(ADDRESS(2,COLUMN())),OFFSET($BN$2,0,0,ROW()-1,60),ROW()-1,FALSE))</f>
        <v>126</v>
      </c>
      <c r="AY31">
        <f ca="1">IF(AND(ISNUMBER($AY$233),$B$185=1),$AY$233,HLOOKUP(INDIRECT(ADDRESS(2,COLUMN())),OFFSET($BN$2,0,0,ROW()-1,60),ROW()-1,FALSE))</f>
        <v>121</v>
      </c>
      <c r="AZ31">
        <f ca="1">IF(AND(ISNUMBER($AZ$233),$B$185=1),$AZ$233,HLOOKUP(INDIRECT(ADDRESS(2,COLUMN())),OFFSET($BN$2,0,0,ROW()-1,60),ROW()-1,FALSE))</f>
        <v>233</v>
      </c>
      <c r="BA31">
        <f ca="1">IF(AND(ISNUMBER($BA$233),$B$185=1),$BA$233,HLOOKUP(INDIRECT(ADDRESS(2,COLUMN())),OFFSET($BN$2,0,0,ROW()-1,60),ROW()-1,FALSE))</f>
        <v>220</v>
      </c>
      <c r="BB31">
        <f ca="1">IF(AND(ISNUMBER($BB$233),$B$185=1),$BB$233,HLOOKUP(INDIRECT(ADDRESS(2,COLUMN())),OFFSET($BN$2,0,0,ROW()-1,60),ROW()-1,FALSE))</f>
        <v>258</v>
      </c>
      <c r="BC31">
        <f ca="1">IF(AND(ISNUMBER($BC$233),$B$185=1),$BC$233,HLOOKUP(INDIRECT(ADDRESS(2,COLUMN())),OFFSET($BN$2,0,0,ROW()-1,60),ROW()-1,FALSE))</f>
        <v>200</v>
      </c>
      <c r="BD31">
        <f ca="1">IF(AND(ISNUMBER($BD$233),$B$185=1),$BD$233,HLOOKUP(INDIRECT(ADDRESS(2,COLUMN())),OFFSET($BN$2,0,0,ROW()-1,60),ROW()-1,FALSE))</f>
        <v>183</v>
      </c>
      <c r="BE31">
        <f ca="1">IF(AND(ISNUMBER($BE$233),$B$185=1),$BE$233,HLOOKUP(INDIRECT(ADDRESS(2,COLUMN())),OFFSET($BN$2,0,0,ROW()-1,60),ROW()-1,FALSE))</f>
        <v>204</v>
      </c>
      <c r="BF31">
        <f ca="1">IF(AND(ISNUMBER($BF$233),$B$185=1),$BF$233,HLOOKUP(INDIRECT(ADDRESS(2,COLUMN())),OFFSET($BN$2,0,0,ROW()-1,60),ROW()-1,FALSE))</f>
        <v>156</v>
      </c>
      <c r="BG31">
        <f ca="1">IF(AND(ISNUMBER($BG$233),$B$185=1),$BG$233,HLOOKUP(INDIRECT(ADDRESS(2,COLUMN())),OFFSET($BN$2,0,0,ROW()-1,60),ROW()-1,FALSE))</f>
        <v>178</v>
      </c>
      <c r="BH31">
        <f ca="1">IF(AND(ISNUMBER($BH$233),$B$185=1),$BH$233,HLOOKUP(INDIRECT(ADDRESS(2,COLUMN())),OFFSET($BN$2,0,0,ROW()-1,60),ROW()-1,FALSE))</f>
        <v>162</v>
      </c>
      <c r="BI31">
        <f ca="1">IF(AND(ISNUMBER($BI$233),$B$185=1),$BI$233,HLOOKUP(INDIRECT(ADDRESS(2,COLUMN())),OFFSET($BN$2,0,0,ROW()-1,60),ROW()-1,FALSE))</f>
        <v>102</v>
      </c>
      <c r="BJ31">
        <f ca="1">IF(AND(ISNUMBER($BJ$233),$B$185=1),$BJ$233,HLOOKUP(INDIRECT(ADDRESS(2,COLUMN())),OFFSET($BN$2,0,0,ROW()-1,60),ROW()-1,FALSE))</f>
        <v>149</v>
      </c>
      <c r="BK31">
        <f ca="1">IF(AND(ISNUMBER($BK$233),$B$185=1),$BK$233,HLOOKUP(INDIRECT(ADDRESS(2,COLUMN())),OFFSET($BN$2,0,0,ROW()-1,60),ROW()-1,FALSE))</f>
        <v>232</v>
      </c>
      <c r="BL31">
        <f ca="1">IF(AND(ISNUMBER($BL$233),$B$185=1),$BL$233,HLOOKUP(INDIRECT(ADDRESS(2,COLUMN())),OFFSET($BN$2,0,0,ROW()-1,60),ROW()-1,FALSE))</f>
        <v>114</v>
      </c>
      <c r="BM31" t="str">
        <f ca="1">IF(AND(ISNUMBER($BM$233),$B$185=1),$BM$233,HLOOKUP(INDIRECT(ADDRESS(2,COLUMN())),OFFSET($BN$2,0,0,ROW()-1,60),ROW()-1,FALSE))</f>
        <v/>
      </c>
      <c r="BN31">
        <f>57</f>
        <v>57</v>
      </c>
      <c r="BO31">
        <f>50</f>
        <v>50</v>
      </c>
      <c r="BP31">
        <f>50</f>
        <v>50</v>
      </c>
      <c r="BQ31">
        <f>54</f>
        <v>54</v>
      </c>
      <c r="BR31">
        <f>66</f>
        <v>66</v>
      </c>
      <c r="BS31">
        <f>57</f>
        <v>57</v>
      </c>
      <c r="BT31">
        <f>59</f>
        <v>59</v>
      </c>
      <c r="BU31">
        <f>69</f>
        <v>69</v>
      </c>
      <c r="BV31">
        <f>63</f>
        <v>63</v>
      </c>
      <c r="BW31">
        <f>69</f>
        <v>69</v>
      </c>
      <c r="BX31">
        <f>31</f>
        <v>31</v>
      </c>
      <c r="BY31">
        <f>52</f>
        <v>52</v>
      </c>
      <c r="BZ31">
        <f>35</f>
        <v>35</v>
      </c>
      <c r="CA31">
        <f>86</f>
        <v>86</v>
      </c>
      <c r="CB31">
        <f>64</f>
        <v>64</v>
      </c>
      <c r="CC31">
        <f>85</f>
        <v>85</v>
      </c>
      <c r="CD31">
        <f>25</f>
        <v>25</v>
      </c>
      <c r="CE31">
        <f>76</f>
        <v>76</v>
      </c>
      <c r="CF31">
        <f>99</f>
        <v>99</v>
      </c>
      <c r="CG31">
        <f>120</f>
        <v>120</v>
      </c>
      <c r="CH31">
        <f>73</f>
        <v>73</v>
      </c>
      <c r="CI31">
        <f>95</f>
        <v>95</v>
      </c>
      <c r="CJ31">
        <f>63</f>
        <v>63</v>
      </c>
      <c r="CK31">
        <f>56</f>
        <v>56</v>
      </c>
      <c r="CL31">
        <f>54</f>
        <v>54</v>
      </c>
      <c r="CM31">
        <f>49</f>
        <v>49</v>
      </c>
      <c r="CN31">
        <f>53</f>
        <v>53</v>
      </c>
      <c r="CO31">
        <f>56</f>
        <v>56</v>
      </c>
      <c r="CP31">
        <f>54</f>
        <v>54</v>
      </c>
      <c r="CQ31">
        <f>63</f>
        <v>63</v>
      </c>
      <c r="CR31">
        <f>55</f>
        <v>55</v>
      </c>
      <c r="CS31">
        <f>52</f>
        <v>52</v>
      </c>
      <c r="CT31">
        <f>65</f>
        <v>65</v>
      </c>
      <c r="CU31">
        <f>66</f>
        <v>66</v>
      </c>
      <c r="CV31">
        <f>75</f>
        <v>75</v>
      </c>
      <c r="CW31">
        <f>78</f>
        <v>78</v>
      </c>
      <c r="CX31">
        <f>74</f>
        <v>74</v>
      </c>
      <c r="CY31">
        <f>71</f>
        <v>71</v>
      </c>
      <c r="CZ31">
        <f>117</f>
        <v>117</v>
      </c>
      <c r="DA31">
        <f>86</f>
        <v>86</v>
      </c>
      <c r="DB31">
        <f>61</f>
        <v>61</v>
      </c>
      <c r="DC31">
        <f>61</f>
        <v>61</v>
      </c>
      <c r="DD31">
        <f>78</f>
        <v>78</v>
      </c>
      <c r="DE31">
        <f>109</f>
        <v>109</v>
      </c>
      <c r="DF31">
        <f>126</f>
        <v>126</v>
      </c>
      <c r="DG31">
        <f>121</f>
        <v>121</v>
      </c>
      <c r="DH31">
        <f>233</f>
        <v>233</v>
      </c>
      <c r="DI31">
        <f>220</f>
        <v>220</v>
      </c>
      <c r="DJ31">
        <f>258</f>
        <v>258</v>
      </c>
      <c r="DK31">
        <f>200</f>
        <v>200</v>
      </c>
      <c r="DL31">
        <f>183</f>
        <v>183</v>
      </c>
      <c r="DM31">
        <f>204</f>
        <v>204</v>
      </c>
      <c r="DN31">
        <f>156</f>
        <v>156</v>
      </c>
      <c r="DO31">
        <f>178</f>
        <v>178</v>
      </c>
      <c r="DP31">
        <f>162</f>
        <v>162</v>
      </c>
      <c r="DQ31">
        <f>102</f>
        <v>102</v>
      </c>
      <c r="DR31">
        <f>149</f>
        <v>149</v>
      </c>
      <c r="DS31">
        <f>232</f>
        <v>232</v>
      </c>
      <c r="DT31">
        <f>114</f>
        <v>114</v>
      </c>
      <c r="DU31" t="str">
        <f>""</f>
        <v/>
      </c>
    </row>
    <row r="32" spans="1:125">
      <c r="A32" t="str">
        <f>"    First Citizens BancShares Inc/"</f>
        <v xml:space="preserve">    First Citizens BancShares Inc/</v>
      </c>
      <c r="B32" t="str">
        <f>"FCNCA US Equity"</f>
        <v>FCNCA US Equity</v>
      </c>
      <c r="C32" t="str">
        <f t="shared" si="1"/>
        <v>A0621</v>
      </c>
      <c r="D32" t="str">
        <f t="shared" si="2"/>
        <v>ARD_MORTGAGE_BANKING_REVENUE</v>
      </c>
      <c r="E32" t="str">
        <f t="shared" si="3"/>
        <v>Dynamic</v>
      </c>
      <c r="F32" t="str">
        <f ca="1">IF(AND(ISNUMBER($F$234),$B$185=1),$F$234,HLOOKUP(INDIRECT(ADDRESS(2,COLUMN())),OFFSET($BN$2,0,0,ROW()-1,60),ROW()-1,FALSE))</f>
        <v/>
      </c>
      <c r="G32" t="str">
        <f ca="1">IF(AND(ISNUMBER($G$234),$B$185=1),$G$234,HLOOKUP(INDIRECT(ADDRESS(2,COLUMN())),OFFSET($BN$2,0,0,ROW()-1,60),ROW()-1,FALSE))</f>
        <v/>
      </c>
      <c r="H32" t="str">
        <f ca="1">IF(AND(ISNUMBER($H$234),$B$185=1),$H$234,HLOOKUP(INDIRECT(ADDRESS(2,COLUMN())),OFFSET($BN$2,0,0,ROW()-1,60),ROW()-1,FALSE))</f>
        <v/>
      </c>
      <c r="I32" t="str">
        <f ca="1">IF(AND(ISNUMBER($I$234),$B$185=1),$I$234,HLOOKUP(INDIRECT(ADDRESS(2,COLUMN())),OFFSET($BN$2,0,0,ROW()-1,60),ROW()-1,FALSE))</f>
        <v/>
      </c>
      <c r="J32" t="str">
        <f ca="1">IF(AND(ISNUMBER($J$234),$B$185=1),$J$234,HLOOKUP(INDIRECT(ADDRESS(2,COLUMN())),OFFSET($BN$2,0,0,ROW()-1,60),ROW()-1,FALSE))</f>
        <v/>
      </c>
      <c r="K32" t="str">
        <f ca="1">IF(AND(ISNUMBER($K$234),$B$185=1),$K$234,HLOOKUP(INDIRECT(ADDRESS(2,COLUMN())),OFFSET($BN$2,0,0,ROW()-1,60),ROW()-1,FALSE))</f>
        <v/>
      </c>
      <c r="L32" t="str">
        <f ca="1">IF(AND(ISNUMBER($L$234),$B$185=1),$L$234,HLOOKUP(INDIRECT(ADDRESS(2,COLUMN())),OFFSET($BN$2,0,0,ROW()-1,60),ROW()-1,FALSE))</f>
        <v/>
      </c>
      <c r="M32" t="str">
        <f ca="1">IF(AND(ISNUMBER($M$234),$B$185=1),$M$234,HLOOKUP(INDIRECT(ADDRESS(2,COLUMN())),OFFSET($BN$2,0,0,ROW()-1,60),ROW()-1,FALSE))</f>
        <v/>
      </c>
      <c r="N32" t="str">
        <f ca="1">IF(AND(ISNUMBER($N$234),$B$185=1),$N$234,HLOOKUP(INDIRECT(ADDRESS(2,COLUMN())),OFFSET($BN$2,0,0,ROW()-1,60),ROW()-1,FALSE))</f>
        <v/>
      </c>
      <c r="O32" t="str">
        <f ca="1">IF(AND(ISNUMBER($O$234),$B$185=1),$O$234,HLOOKUP(INDIRECT(ADDRESS(2,COLUMN())),OFFSET($BN$2,0,0,ROW()-1,60),ROW()-1,FALSE))</f>
        <v/>
      </c>
      <c r="P32" t="str">
        <f ca="1">IF(AND(ISNUMBER($P$234),$B$185=1),$P$234,HLOOKUP(INDIRECT(ADDRESS(2,COLUMN())),OFFSET($BN$2,0,0,ROW()-1,60),ROW()-1,FALSE))</f>
        <v/>
      </c>
      <c r="Q32" t="str">
        <f ca="1">IF(AND(ISNUMBER($Q$234),$B$185=1),$Q$234,HLOOKUP(INDIRECT(ADDRESS(2,COLUMN())),OFFSET($BN$2,0,0,ROW()-1,60),ROW()-1,FALSE))</f>
        <v/>
      </c>
      <c r="R32" t="str">
        <f ca="1">IF(AND(ISNUMBER($R$234),$B$185=1),$R$234,HLOOKUP(INDIRECT(ADDRESS(2,COLUMN())),OFFSET($BN$2,0,0,ROW()-1,60),ROW()-1,FALSE))</f>
        <v/>
      </c>
      <c r="S32" t="str">
        <f ca="1">IF(AND(ISNUMBER($S$234),$B$185=1),$S$234,HLOOKUP(INDIRECT(ADDRESS(2,COLUMN())),OFFSET($BN$2,0,0,ROW()-1,60),ROW()-1,FALSE))</f>
        <v/>
      </c>
      <c r="T32" t="str">
        <f ca="1">IF(AND(ISNUMBER($T$234),$B$185=1),$T$234,HLOOKUP(INDIRECT(ADDRESS(2,COLUMN())),OFFSET($BN$2,0,0,ROW()-1,60),ROW()-1,FALSE))</f>
        <v/>
      </c>
      <c r="U32" t="str">
        <f ca="1">IF(AND(ISNUMBER($U$234),$B$185=1),$U$234,HLOOKUP(INDIRECT(ADDRESS(2,COLUMN())),OFFSET($BN$2,0,0,ROW()-1,60),ROW()-1,FALSE))</f>
        <v/>
      </c>
      <c r="V32" t="str">
        <f ca="1">IF(AND(ISNUMBER($V$234),$B$185=1),$V$234,HLOOKUP(INDIRECT(ADDRESS(2,COLUMN())),OFFSET($BN$2,0,0,ROW()-1,60),ROW()-1,FALSE))</f>
        <v/>
      </c>
      <c r="W32" t="str">
        <f ca="1">IF(AND(ISNUMBER($W$234),$B$185=1),$W$234,HLOOKUP(INDIRECT(ADDRESS(2,COLUMN())),OFFSET($BN$2,0,0,ROW()-1,60),ROW()-1,FALSE))</f>
        <v/>
      </c>
      <c r="X32" t="str">
        <f ca="1">IF(AND(ISNUMBER($X$234),$B$185=1),$X$234,HLOOKUP(INDIRECT(ADDRESS(2,COLUMN())),OFFSET($BN$2,0,0,ROW()-1,60),ROW()-1,FALSE))</f>
        <v/>
      </c>
      <c r="Y32" t="str">
        <f ca="1">IF(AND(ISNUMBER($Y$234),$B$185=1),$Y$234,HLOOKUP(INDIRECT(ADDRESS(2,COLUMN())),OFFSET($BN$2,0,0,ROW()-1,60),ROW()-1,FALSE))</f>
        <v/>
      </c>
      <c r="Z32" t="str">
        <f ca="1">IF(AND(ISNUMBER($Z$234),$B$185=1),$Z$234,HLOOKUP(INDIRECT(ADDRESS(2,COLUMN())),OFFSET($BN$2,0,0,ROW()-1,60),ROW()-1,FALSE))</f>
        <v/>
      </c>
      <c r="AA32" t="str">
        <f ca="1">IF(AND(ISNUMBER($AA$234),$B$185=1),$AA$234,HLOOKUP(INDIRECT(ADDRESS(2,COLUMN())),OFFSET($BN$2,0,0,ROW()-1,60),ROW()-1,FALSE))</f>
        <v/>
      </c>
      <c r="AB32" t="str">
        <f ca="1">IF(AND(ISNUMBER($AB$234),$B$185=1),$AB$234,HLOOKUP(INDIRECT(ADDRESS(2,COLUMN())),OFFSET($BN$2,0,0,ROW()-1,60),ROW()-1,FALSE))</f>
        <v/>
      </c>
      <c r="AC32" t="str">
        <f ca="1">IF(AND(ISNUMBER($AC$234),$B$185=1),$AC$234,HLOOKUP(INDIRECT(ADDRESS(2,COLUMN())),OFFSET($BN$2,0,0,ROW()-1,60),ROW()-1,FALSE))</f>
        <v/>
      </c>
      <c r="AD32" t="str">
        <f ca="1">IF(AND(ISNUMBER($AD$234),$B$185=1),$AD$234,HLOOKUP(INDIRECT(ADDRESS(2,COLUMN())),OFFSET($BN$2,0,0,ROW()-1,60),ROW()-1,FALSE))</f>
        <v/>
      </c>
      <c r="AE32" t="str">
        <f ca="1">IF(AND(ISNUMBER($AE$234),$B$185=1),$AE$234,HLOOKUP(INDIRECT(ADDRESS(2,COLUMN())),OFFSET($BN$2,0,0,ROW()-1,60),ROW()-1,FALSE))</f>
        <v/>
      </c>
      <c r="AF32" t="str">
        <f ca="1">IF(AND(ISNUMBER($AF$234),$B$185=1),$AF$234,HLOOKUP(INDIRECT(ADDRESS(2,COLUMN())),OFFSET($BN$2,0,0,ROW()-1,60),ROW()-1,FALSE))</f>
        <v/>
      </c>
      <c r="AG32" t="str">
        <f ca="1">IF(AND(ISNUMBER($AG$234),$B$185=1),$AG$234,HLOOKUP(INDIRECT(ADDRESS(2,COLUMN())),OFFSET($BN$2,0,0,ROW()-1,60),ROW()-1,FALSE))</f>
        <v/>
      </c>
      <c r="AH32" t="str">
        <f ca="1">IF(AND(ISNUMBER($AH$234),$B$185=1),$AH$234,HLOOKUP(INDIRECT(ADDRESS(2,COLUMN())),OFFSET($BN$2,0,0,ROW()-1,60),ROW()-1,FALSE))</f>
        <v/>
      </c>
      <c r="AI32" t="str">
        <f ca="1">IF(AND(ISNUMBER($AI$234),$B$185=1),$AI$234,HLOOKUP(INDIRECT(ADDRESS(2,COLUMN())),OFFSET($BN$2,0,0,ROW()-1,60),ROW()-1,FALSE))</f>
        <v/>
      </c>
      <c r="AJ32" t="str">
        <f ca="1">IF(AND(ISNUMBER($AJ$234),$B$185=1),$AJ$234,HLOOKUP(INDIRECT(ADDRESS(2,COLUMN())),OFFSET($BN$2,0,0,ROW()-1,60),ROW()-1,FALSE))</f>
        <v/>
      </c>
      <c r="AK32" t="str">
        <f ca="1">IF(AND(ISNUMBER($AK$234),$B$185=1),$AK$234,HLOOKUP(INDIRECT(ADDRESS(2,COLUMN())),OFFSET($BN$2,0,0,ROW()-1,60),ROW()-1,FALSE))</f>
        <v/>
      </c>
      <c r="AL32" t="str">
        <f ca="1">IF(AND(ISNUMBER($AL$234),$B$185=1),$AL$234,HLOOKUP(INDIRECT(ADDRESS(2,COLUMN())),OFFSET($BN$2,0,0,ROW()-1,60),ROW()-1,FALSE))</f>
        <v/>
      </c>
      <c r="AM32" t="str">
        <f ca="1">IF(AND(ISNUMBER($AM$234),$B$185=1),$AM$234,HLOOKUP(INDIRECT(ADDRESS(2,COLUMN())),OFFSET($BN$2,0,0,ROW()-1,60),ROW()-1,FALSE))</f>
        <v/>
      </c>
      <c r="AN32" t="str">
        <f ca="1">IF(AND(ISNUMBER($AN$234),$B$185=1),$AN$234,HLOOKUP(INDIRECT(ADDRESS(2,COLUMN())),OFFSET($BN$2,0,0,ROW()-1,60),ROW()-1,FALSE))</f>
        <v/>
      </c>
      <c r="AO32" t="str">
        <f ca="1">IF(AND(ISNUMBER($AO$234),$B$185=1),$AO$234,HLOOKUP(INDIRECT(ADDRESS(2,COLUMN())),OFFSET($BN$2,0,0,ROW()-1,60),ROW()-1,FALSE))</f>
        <v/>
      </c>
      <c r="AP32" t="str">
        <f ca="1">IF(AND(ISNUMBER($AP$234),$B$185=1),$AP$234,HLOOKUP(INDIRECT(ADDRESS(2,COLUMN())),OFFSET($BN$2,0,0,ROW()-1,60),ROW()-1,FALSE))</f>
        <v/>
      </c>
      <c r="AQ32" t="str">
        <f ca="1">IF(AND(ISNUMBER($AQ$234),$B$185=1),$AQ$234,HLOOKUP(INDIRECT(ADDRESS(2,COLUMN())),OFFSET($BN$2,0,0,ROW()-1,60),ROW()-1,FALSE))</f>
        <v/>
      </c>
      <c r="AR32" t="str">
        <f ca="1">IF(AND(ISNUMBER($AR$234),$B$185=1),$AR$234,HLOOKUP(INDIRECT(ADDRESS(2,COLUMN())),OFFSET($BN$2,0,0,ROW()-1,60),ROW()-1,FALSE))</f>
        <v/>
      </c>
      <c r="AS32" t="str">
        <f ca="1">IF(AND(ISNUMBER($AS$234),$B$185=1),$AS$234,HLOOKUP(INDIRECT(ADDRESS(2,COLUMN())),OFFSET($BN$2,0,0,ROW()-1,60),ROW()-1,FALSE))</f>
        <v/>
      </c>
      <c r="AT32" t="str">
        <f ca="1">IF(AND(ISNUMBER($AT$234),$B$185=1),$AT$234,HLOOKUP(INDIRECT(ADDRESS(2,COLUMN())),OFFSET($BN$2,0,0,ROW()-1,60),ROW()-1,FALSE))</f>
        <v/>
      </c>
      <c r="AU32" t="str">
        <f ca="1">IF(AND(ISNUMBER($AU$234),$B$185=1),$AU$234,HLOOKUP(INDIRECT(ADDRESS(2,COLUMN())),OFFSET($BN$2,0,0,ROW()-1,60),ROW()-1,FALSE))</f>
        <v/>
      </c>
      <c r="AV32" t="str">
        <f ca="1">IF(AND(ISNUMBER($AV$234),$B$185=1),$AV$234,HLOOKUP(INDIRECT(ADDRESS(2,COLUMN())),OFFSET($BN$2,0,0,ROW()-1,60),ROW()-1,FALSE))</f>
        <v/>
      </c>
      <c r="AW32" t="str">
        <f ca="1">IF(AND(ISNUMBER($AW$234),$B$185=1),$AW$234,HLOOKUP(INDIRECT(ADDRESS(2,COLUMN())),OFFSET($BN$2,0,0,ROW()-1,60),ROW()-1,FALSE))</f>
        <v/>
      </c>
      <c r="AX32" t="str">
        <f ca="1">IF(AND(ISNUMBER($AX$234),$B$185=1),$AX$234,HLOOKUP(INDIRECT(ADDRESS(2,COLUMN())),OFFSET($BN$2,0,0,ROW()-1,60),ROW()-1,FALSE))</f>
        <v/>
      </c>
      <c r="AY32" t="str">
        <f ca="1">IF(AND(ISNUMBER($AY$234),$B$185=1),$AY$234,HLOOKUP(INDIRECT(ADDRESS(2,COLUMN())),OFFSET($BN$2,0,0,ROW()-1,60),ROW()-1,FALSE))</f>
        <v/>
      </c>
      <c r="AZ32" t="str">
        <f ca="1">IF(AND(ISNUMBER($AZ$234),$B$185=1),$AZ$234,HLOOKUP(INDIRECT(ADDRESS(2,COLUMN())),OFFSET($BN$2,0,0,ROW()-1,60),ROW()-1,FALSE))</f>
        <v/>
      </c>
      <c r="BA32" t="str">
        <f ca="1">IF(AND(ISNUMBER($BA$234),$B$185=1),$BA$234,HLOOKUP(INDIRECT(ADDRESS(2,COLUMN())),OFFSET($BN$2,0,0,ROW()-1,60),ROW()-1,FALSE))</f>
        <v/>
      </c>
      <c r="BB32" t="str">
        <f ca="1">IF(AND(ISNUMBER($BB$234),$B$185=1),$BB$234,HLOOKUP(INDIRECT(ADDRESS(2,COLUMN())),OFFSET($BN$2,0,0,ROW()-1,60),ROW()-1,FALSE))</f>
        <v/>
      </c>
      <c r="BC32" t="str">
        <f ca="1">IF(AND(ISNUMBER($BC$234),$B$185=1),$BC$234,HLOOKUP(INDIRECT(ADDRESS(2,COLUMN())),OFFSET($BN$2,0,0,ROW()-1,60),ROW()-1,FALSE))</f>
        <v/>
      </c>
      <c r="BD32" t="str">
        <f ca="1">IF(AND(ISNUMBER($BD$234),$B$185=1),$BD$234,HLOOKUP(INDIRECT(ADDRESS(2,COLUMN())),OFFSET($BN$2,0,0,ROW()-1,60),ROW()-1,FALSE))</f>
        <v/>
      </c>
      <c r="BE32" t="str">
        <f ca="1">IF(AND(ISNUMBER($BE$234),$B$185=1),$BE$234,HLOOKUP(INDIRECT(ADDRESS(2,COLUMN())),OFFSET($BN$2,0,0,ROW()-1,60),ROW()-1,FALSE))</f>
        <v/>
      </c>
      <c r="BF32" t="str">
        <f ca="1">IF(AND(ISNUMBER($BF$234),$B$185=1),$BF$234,HLOOKUP(INDIRECT(ADDRESS(2,COLUMN())),OFFSET($BN$2,0,0,ROW()-1,60),ROW()-1,FALSE))</f>
        <v/>
      </c>
      <c r="BG32" t="str">
        <f ca="1">IF(AND(ISNUMBER($BG$234),$B$185=1),$BG$234,HLOOKUP(INDIRECT(ADDRESS(2,COLUMN())),OFFSET($BN$2,0,0,ROW()-1,60),ROW()-1,FALSE))</f>
        <v/>
      </c>
      <c r="BH32" t="str">
        <f ca="1">IF(AND(ISNUMBER($BH$234),$B$185=1),$BH$234,HLOOKUP(INDIRECT(ADDRESS(2,COLUMN())),OFFSET($BN$2,0,0,ROW()-1,60),ROW()-1,FALSE))</f>
        <v/>
      </c>
      <c r="BI32" t="str">
        <f ca="1">IF(AND(ISNUMBER($BI$234),$B$185=1),$BI$234,HLOOKUP(INDIRECT(ADDRESS(2,COLUMN())),OFFSET($BN$2,0,0,ROW()-1,60),ROW()-1,FALSE))</f>
        <v/>
      </c>
      <c r="BJ32" t="str">
        <f ca="1">IF(AND(ISNUMBER($BJ$234),$B$185=1),$BJ$234,HLOOKUP(INDIRECT(ADDRESS(2,COLUMN())),OFFSET($BN$2,0,0,ROW()-1,60),ROW()-1,FALSE))</f>
        <v/>
      </c>
      <c r="BK32" t="str">
        <f ca="1">IF(AND(ISNUMBER($BK$234),$B$185=1),$BK$234,HLOOKUP(INDIRECT(ADDRESS(2,COLUMN())),OFFSET($BN$2,0,0,ROW()-1,60),ROW()-1,FALSE))</f>
        <v/>
      </c>
      <c r="BL32" t="str">
        <f ca="1">IF(AND(ISNUMBER($BL$234),$B$185=1),$BL$234,HLOOKUP(INDIRECT(ADDRESS(2,COLUMN())),OFFSET($BN$2,0,0,ROW()-1,60),ROW()-1,FALSE))</f>
        <v/>
      </c>
      <c r="BM32" t="str">
        <f ca="1">IF(AND(ISNUMBER($BM$234),$B$185=1),$BM$234,HLOOKUP(INDIRECT(ADDRESS(2,COLUMN())),OFFSET($BN$2,0,0,ROW()-1,60),ROW()-1,FALSE))</f>
        <v/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 t="str">
        <f>""</f>
        <v/>
      </c>
      <c r="DQ32" t="str">
        <f>""</f>
        <v/>
      </c>
      <c r="DR32" t="str">
        <f>""</f>
        <v/>
      </c>
      <c r="DS32" t="str">
        <f>""</f>
        <v/>
      </c>
      <c r="DT32" t="str">
        <f>""</f>
        <v/>
      </c>
      <c r="DU32" t="str">
        <f>""</f>
        <v/>
      </c>
    </row>
    <row r="33" spans="1:125">
      <c r="A33" t="str">
        <f>"    Flagstar Financial Inc"</f>
        <v xml:space="preserve">    Flagstar Financial Inc</v>
      </c>
      <c r="B33" t="str">
        <f>"FLG US Equity"</f>
        <v>FLG US Equity</v>
      </c>
      <c r="C33" t="str">
        <f t="shared" si="1"/>
        <v>A0621</v>
      </c>
      <c r="D33" t="str">
        <f t="shared" si="2"/>
        <v>ARD_MORTGAGE_BANKING_REVENUE</v>
      </c>
      <c r="E33" t="str">
        <f t="shared" si="3"/>
        <v>Dynamic</v>
      </c>
      <c r="F33" t="str">
        <f ca="1">IF(AND(ISNUMBER($F$235),$B$185=1),$F$235,HLOOKUP(INDIRECT(ADDRESS(2,COLUMN())),OFFSET($BN$2,0,0,ROW()-1,60),ROW()-1,FALSE))</f>
        <v/>
      </c>
      <c r="G33">
        <f ca="1">IF(AND(ISNUMBER($G$235),$B$185=1),$G$235,HLOOKUP(INDIRECT(ADDRESS(2,COLUMN())),OFFSET($BN$2,0,0,ROW()-1,60),ROW()-1,FALSE))</f>
        <v>34</v>
      </c>
      <c r="H33">
        <f ca="1">IF(AND(ISNUMBER($H$235),$B$185=1),$H$235,HLOOKUP(INDIRECT(ADDRESS(2,COLUMN())),OFFSET($BN$2,0,0,ROW()-1,60),ROW()-1,FALSE))</f>
        <v>19</v>
      </c>
      <c r="I33">
        <f ca="1">IF(AND(ISNUMBER($I$235),$B$185=1),$I$235,HLOOKUP(INDIRECT(ADDRESS(2,COLUMN())),OFFSET($BN$2,0,0,ROW()-1,60),ROW()-1,FALSE))</f>
        <v>21</v>
      </c>
      <c r="J33" t="str">
        <f ca="1">IF(AND(ISNUMBER($J$235),$B$185=1),$J$235,HLOOKUP(INDIRECT(ADDRESS(2,COLUMN())),OFFSET($BN$2,0,0,ROW()-1,60),ROW()-1,FALSE))</f>
        <v/>
      </c>
      <c r="K33">
        <f ca="1">IF(AND(ISNUMBER($K$235),$B$185=1),$K$235,HLOOKUP(INDIRECT(ADDRESS(2,COLUMN())),OFFSET($BN$2,0,0,ROW()-1,60),ROW()-1,FALSE))</f>
        <v>23</v>
      </c>
      <c r="L33">
        <f ca="1">IF(AND(ISNUMBER($L$235),$B$185=1),$L$235,HLOOKUP(INDIRECT(ADDRESS(2,COLUMN())),OFFSET($BN$2,0,0,ROW()-1,60),ROW()-1,FALSE))</f>
        <v>25</v>
      </c>
      <c r="M33">
        <f ca="1">IF(AND(ISNUMBER($M$235),$B$185=1),$M$235,HLOOKUP(INDIRECT(ADDRESS(2,COLUMN())),OFFSET($BN$2,0,0,ROW()-1,60),ROW()-1,FALSE))</f>
        <v>22</v>
      </c>
      <c r="N33">
        <f ca="1">IF(AND(ISNUMBER($N$235),$B$185=1),$N$235,HLOOKUP(INDIRECT(ADDRESS(2,COLUMN())),OFFSET($BN$2,0,0,ROW()-1,60),ROW()-1,FALSE))</f>
        <v>6</v>
      </c>
      <c r="O33" t="str">
        <f ca="1">IF(AND(ISNUMBER($O$235),$B$185=1),$O$235,HLOOKUP(INDIRECT(ADDRESS(2,COLUMN())),OFFSET($BN$2,0,0,ROW()-1,60),ROW()-1,FALSE))</f>
        <v/>
      </c>
      <c r="P33" t="str">
        <f ca="1">IF(AND(ISNUMBER($P$235),$B$185=1),$P$235,HLOOKUP(INDIRECT(ADDRESS(2,COLUMN())),OFFSET($BN$2,0,0,ROW()-1,60),ROW()-1,FALSE))</f>
        <v/>
      </c>
      <c r="Q33" t="str">
        <f ca="1">IF(AND(ISNUMBER($Q$235),$B$185=1),$Q$235,HLOOKUP(INDIRECT(ADDRESS(2,COLUMN())),OFFSET($BN$2,0,0,ROW()-1,60),ROW()-1,FALSE))</f>
        <v/>
      </c>
      <c r="R33" t="str">
        <f ca="1">IF(AND(ISNUMBER($R$235),$B$185=1),$R$235,HLOOKUP(INDIRECT(ADDRESS(2,COLUMN())),OFFSET($BN$2,0,0,ROW()-1,60),ROW()-1,FALSE))</f>
        <v/>
      </c>
      <c r="S33" t="str">
        <f ca="1">IF(AND(ISNUMBER($S$235),$B$185=1),$S$235,HLOOKUP(INDIRECT(ADDRESS(2,COLUMN())),OFFSET($BN$2,0,0,ROW()-1,60),ROW()-1,FALSE))</f>
        <v/>
      </c>
      <c r="T33" t="str">
        <f ca="1">IF(AND(ISNUMBER($T$235),$B$185=1),$T$235,HLOOKUP(INDIRECT(ADDRESS(2,COLUMN())),OFFSET($BN$2,0,0,ROW()-1,60),ROW()-1,FALSE))</f>
        <v/>
      </c>
      <c r="U33" t="str">
        <f ca="1">IF(AND(ISNUMBER($U$235),$B$185=1),$U$235,HLOOKUP(INDIRECT(ADDRESS(2,COLUMN())),OFFSET($BN$2,0,0,ROW()-1,60),ROW()-1,FALSE))</f>
        <v/>
      </c>
      <c r="V33">
        <f ca="1">IF(AND(ISNUMBER($V$235),$B$185=1),$V$235,HLOOKUP(INDIRECT(ADDRESS(2,COLUMN())),OFFSET($BN$2,0,0,ROW()-1,60),ROW()-1,FALSE))</f>
        <v>0</v>
      </c>
      <c r="W33" t="str">
        <f ca="1">IF(AND(ISNUMBER($W$235),$B$185=1),$W$235,HLOOKUP(INDIRECT(ADDRESS(2,COLUMN())),OFFSET($BN$2,0,0,ROW()-1,60),ROW()-1,FALSE))</f>
        <v/>
      </c>
      <c r="X33" t="str">
        <f ca="1">IF(AND(ISNUMBER($X$235),$B$185=1),$X$235,HLOOKUP(INDIRECT(ADDRESS(2,COLUMN())),OFFSET($BN$2,0,0,ROW()-1,60),ROW()-1,FALSE))</f>
        <v/>
      </c>
      <c r="Y33" t="str">
        <f ca="1">IF(AND(ISNUMBER($Y$235),$B$185=1),$Y$235,HLOOKUP(INDIRECT(ADDRESS(2,COLUMN())),OFFSET($BN$2,0,0,ROW()-1,60),ROW()-1,FALSE))</f>
        <v/>
      </c>
      <c r="Z33">
        <f ca="1">IF(AND(ISNUMBER($Z$235),$B$185=1),$Z$235,HLOOKUP(INDIRECT(ADDRESS(2,COLUMN())),OFFSET($BN$2,0,0,ROW()-1,60),ROW()-1,FALSE))</f>
        <v>0</v>
      </c>
      <c r="AA33" t="str">
        <f ca="1">IF(AND(ISNUMBER($AA$235),$B$185=1),$AA$235,HLOOKUP(INDIRECT(ADDRESS(2,COLUMN())),OFFSET($BN$2,0,0,ROW()-1,60),ROW()-1,FALSE))</f>
        <v/>
      </c>
      <c r="AB33">
        <f ca="1">IF(AND(ISNUMBER($AB$235),$B$185=1),$AB$235,HLOOKUP(INDIRECT(ADDRESS(2,COLUMN())),OFFSET($BN$2,0,0,ROW()-1,60),ROW()-1,FALSE))</f>
        <v>0</v>
      </c>
      <c r="AC33" t="str">
        <f ca="1">IF(AND(ISNUMBER($AC$235),$B$185=1),$AC$235,HLOOKUP(INDIRECT(ADDRESS(2,COLUMN())),OFFSET($BN$2,0,0,ROW()-1,60),ROW()-1,FALSE))</f>
        <v/>
      </c>
      <c r="AD33">
        <f ca="1">IF(AND(ISNUMBER($AD$235),$B$185=1),$AD$235,HLOOKUP(INDIRECT(ADDRESS(2,COLUMN())),OFFSET($BN$2,0,0,ROW()-1,60),ROW()-1,FALSE))</f>
        <v>0</v>
      </c>
      <c r="AE33">
        <f ca="1">IF(AND(ISNUMBER($AE$235),$B$185=1),$AE$235,HLOOKUP(INDIRECT(ADDRESS(2,COLUMN())),OFFSET($BN$2,0,0,ROW()-1,60),ROW()-1,FALSE))</f>
        <v>0</v>
      </c>
      <c r="AF33">
        <f ca="1">IF(AND(ISNUMBER($AF$235),$B$185=1),$AF$235,HLOOKUP(INDIRECT(ADDRESS(2,COLUMN())),OFFSET($BN$2,0,0,ROW()-1,60),ROW()-1,FALSE))</f>
        <v>0</v>
      </c>
      <c r="AG33">
        <f ca="1">IF(AND(ISNUMBER($AG$235),$B$185=1),$AG$235,HLOOKUP(INDIRECT(ADDRESS(2,COLUMN())),OFFSET($BN$2,0,0,ROW()-1,60),ROW()-1,FALSE))</f>
        <v>0</v>
      </c>
      <c r="AH33">
        <f ca="1">IF(AND(ISNUMBER($AH$235),$B$185=1),$AH$235,HLOOKUP(INDIRECT(ADDRESS(2,COLUMN())),OFFSET($BN$2,0,0,ROW()-1,60),ROW()-1,FALSE))</f>
        <v>0</v>
      </c>
      <c r="AI33">
        <f ca="1">IF(AND(ISNUMBER($AI$235),$B$185=1),$AI$235,HLOOKUP(INDIRECT(ADDRESS(2,COLUMN())),OFFSET($BN$2,0,0,ROW()-1,60),ROW()-1,FALSE))</f>
        <v>1.486</v>
      </c>
      <c r="AJ33">
        <f ca="1">IF(AND(ISNUMBER($AJ$235),$B$185=1),$AJ$235,HLOOKUP(INDIRECT(ADDRESS(2,COLUMN())),OFFSET($BN$2,0,0,ROW()-1,60),ROW()-1,FALSE))</f>
        <v>8.1959999999999997</v>
      </c>
      <c r="AK33">
        <f ca="1">IF(AND(ISNUMBER($AK$235),$B$185=1),$AK$235,HLOOKUP(INDIRECT(ADDRESS(2,COLUMN())),OFFSET($BN$2,0,0,ROW()-1,60),ROW()-1,FALSE))</f>
        <v>9.7639999999999993</v>
      </c>
      <c r="AL33">
        <f ca="1">IF(AND(ISNUMBER($AL$235),$B$185=1),$AL$235,HLOOKUP(INDIRECT(ADDRESS(2,COLUMN())),OFFSET($BN$2,0,0,ROW()-1,60),ROW()-1,FALSE))</f>
        <v>3.2610000000000001</v>
      </c>
      <c r="AM33">
        <f ca="1">IF(AND(ISNUMBER($AM$235),$B$185=1),$AM$235,HLOOKUP(INDIRECT(ADDRESS(2,COLUMN())),OFFSET($BN$2,0,0,ROW()-1,60),ROW()-1,FALSE))</f>
        <v>12.925000000000001</v>
      </c>
      <c r="AN33">
        <f ca="1">IF(AND(ISNUMBER($AN$235),$B$185=1),$AN$235,HLOOKUP(INDIRECT(ADDRESS(2,COLUMN())),OFFSET($BN$2,0,0,ROW()-1,60),ROW()-1,FALSE))</f>
        <v>6.9569999999999999</v>
      </c>
      <c r="AO33">
        <f ca="1">IF(AND(ISNUMBER($AO$235),$B$185=1),$AO$235,HLOOKUP(INDIRECT(ADDRESS(2,COLUMN())),OFFSET($BN$2,0,0,ROW()-1,60),ROW()-1,FALSE))</f>
        <v>4.1379999999999999</v>
      </c>
      <c r="AP33">
        <f ca="1">IF(AND(ISNUMBER($AP$235),$B$185=1),$AP$235,HLOOKUP(INDIRECT(ADDRESS(2,COLUMN())),OFFSET($BN$2,0,0,ROW()-1,60),ROW()-1,FALSE))</f>
        <v>12.265000000000001</v>
      </c>
      <c r="AQ33">
        <f ca="1">IF(AND(ISNUMBER($AQ$235),$B$185=1),$AQ$235,HLOOKUP(INDIRECT(ADDRESS(2,COLUMN())),OFFSET($BN$2,0,0,ROW()-1,60),ROW()-1,FALSE))</f>
        <v>7.4740000000000002</v>
      </c>
      <c r="AR33">
        <f ca="1">IF(AND(ISNUMBER($AR$235),$B$185=1),$AR$235,HLOOKUP(INDIRECT(ADDRESS(2,COLUMN())),OFFSET($BN$2,0,0,ROW()-1,60),ROW()-1,FALSE))</f>
        <v>15.968</v>
      </c>
      <c r="AS33">
        <f ca="1">IF(AND(ISNUMBER($AS$235),$B$185=1),$AS$235,HLOOKUP(INDIRECT(ADDRESS(2,COLUMN())),OFFSET($BN$2,0,0,ROW()-1,60),ROW()-1,FALSE))</f>
        <v>18.405999999999999</v>
      </c>
      <c r="AT33">
        <f ca="1">IF(AND(ISNUMBER($AT$235),$B$185=1),$AT$235,HLOOKUP(INDIRECT(ADDRESS(2,COLUMN())),OFFSET($BN$2,0,0,ROW()-1,60),ROW()-1,FALSE))</f>
        <v>16.446000000000002</v>
      </c>
      <c r="AU33">
        <f ca="1">IF(AND(ISNUMBER($AU$235),$B$185=1),$AU$235,HLOOKUP(INDIRECT(ADDRESS(2,COLUMN())),OFFSET($BN$2,0,0,ROW()-1,60),ROW()-1,FALSE))</f>
        <v>16.606000000000002</v>
      </c>
      <c r="AV33">
        <f ca="1">IF(AND(ISNUMBER($AV$235),$B$185=1),$AV$235,HLOOKUP(INDIRECT(ADDRESS(2,COLUMN())),OFFSET($BN$2,0,0,ROW()-1,60),ROW()-1,FALSE))</f>
        <v>15.291</v>
      </c>
      <c r="AW33">
        <f ca="1">IF(AND(ISNUMBER($AW$235),$B$185=1),$AW$235,HLOOKUP(INDIRECT(ADDRESS(2,COLUMN())),OFFSET($BN$2,0,0,ROW()-1,60),ROW()-1,FALSE))</f>
        <v>14.61</v>
      </c>
      <c r="AX33">
        <f ca="1">IF(AND(ISNUMBER($AX$235),$B$185=1),$AX$235,HLOOKUP(INDIRECT(ADDRESS(2,COLUMN())),OFFSET($BN$2,0,0,ROW()-1,60),ROW()-1,FALSE))</f>
        <v>12.753</v>
      </c>
      <c r="AY33">
        <f ca="1">IF(AND(ISNUMBER($AY$235),$B$185=1),$AY$235,HLOOKUP(INDIRECT(ADDRESS(2,COLUMN())),OFFSET($BN$2,0,0,ROW()-1,60),ROW()-1,FALSE))</f>
        <v>16.204999999999998</v>
      </c>
      <c r="AZ33">
        <f ca="1">IF(AND(ISNUMBER($AZ$235),$B$185=1),$AZ$235,HLOOKUP(INDIRECT(ADDRESS(2,COLUMN())),OFFSET($BN$2,0,0,ROW()-1,60),ROW()-1,FALSE))</f>
        <v>23.216000000000001</v>
      </c>
      <c r="BA33">
        <f ca="1">IF(AND(ISNUMBER($BA$235),$B$185=1),$BA$235,HLOOKUP(INDIRECT(ADDRESS(2,COLUMN())),OFFSET($BN$2,0,0,ROW()-1,60),ROW()-1,FALSE))</f>
        <v>26.109000000000002</v>
      </c>
      <c r="BB33">
        <f ca="1">IF(AND(ISNUMBER($BB$235),$B$185=1),$BB$235,HLOOKUP(INDIRECT(ADDRESS(2,COLUMN())),OFFSET($BN$2,0,0,ROW()-1,60),ROW()-1,FALSE))</f>
        <v>32.573999999999998</v>
      </c>
      <c r="BC33">
        <f ca="1">IF(AND(ISNUMBER($BC$235),$B$185=1),$BC$235,HLOOKUP(INDIRECT(ADDRESS(2,COLUMN())),OFFSET($BN$2,0,0,ROW()-1,60),ROW()-1,FALSE))</f>
        <v>52.581000000000003</v>
      </c>
      <c r="BD33">
        <f ca="1">IF(AND(ISNUMBER($BD$235),$B$185=1),$BD$235,HLOOKUP(INDIRECT(ADDRESS(2,COLUMN())),OFFSET($BN$2,0,0,ROW()-1,60),ROW()-1,FALSE))</f>
        <v>58.323</v>
      </c>
      <c r="BE33">
        <f ca="1">IF(AND(ISNUMBER($BE$235),$B$185=1),$BE$235,HLOOKUP(INDIRECT(ADDRESS(2,COLUMN())),OFFSET($BN$2,0,0,ROW()-1,60),ROW()-1,FALSE))</f>
        <v>35.164999999999999</v>
      </c>
      <c r="BF33">
        <f ca="1">IF(AND(ISNUMBER($BF$235),$B$185=1),$BF$235,HLOOKUP(INDIRECT(ADDRESS(2,COLUMN())),OFFSET($BN$2,0,0,ROW()-1,60),ROW()-1,FALSE))</f>
        <v>24.687999999999999</v>
      </c>
      <c r="BG33">
        <f ca="1">IF(AND(ISNUMBER($BG$235),$B$185=1),$BG$235,HLOOKUP(INDIRECT(ADDRESS(2,COLUMN())),OFFSET($BN$2,0,0,ROW()-1,60),ROW()-1,FALSE))</f>
        <v>24.274000000000001</v>
      </c>
      <c r="BH33">
        <f ca="1">IF(AND(ISNUMBER($BH$235),$B$185=1),$BH$235,HLOOKUP(INDIRECT(ADDRESS(2,COLUMN())),OFFSET($BN$2,0,0,ROW()-1,60),ROW()-1,FALSE))</f>
        <v>11.773999999999999</v>
      </c>
      <c r="BI33">
        <f ca="1">IF(AND(ISNUMBER($BI$235),$B$185=1),$BI$235,HLOOKUP(INDIRECT(ADDRESS(2,COLUMN())),OFFSET($BN$2,0,0,ROW()-1,60),ROW()-1,FALSE))</f>
        <v>19.937999999999999</v>
      </c>
      <c r="BJ33">
        <f ca="1">IF(AND(ISNUMBER($BJ$235),$B$185=1),$BJ$235,HLOOKUP(INDIRECT(ADDRESS(2,COLUMN())),OFFSET($BN$2,0,0,ROW()-1,60),ROW()-1,FALSE))</f>
        <v>40.386000000000003</v>
      </c>
      <c r="BK33">
        <f ca="1">IF(AND(ISNUMBER($BK$235),$B$185=1),$BK$235,HLOOKUP(INDIRECT(ADDRESS(2,COLUMN())),OFFSET($BN$2,0,0,ROW()-1,60),ROW()-1,FALSE))</f>
        <v>76.465000000000003</v>
      </c>
      <c r="BL33">
        <f ca="1">IF(AND(ISNUMBER($BL$235),$B$185=1),$BL$235,HLOOKUP(INDIRECT(ADDRESS(2,COLUMN())),OFFSET($BN$2,0,0,ROW()-1,60),ROW()-1,FALSE))</f>
        <v>39.499000000000002</v>
      </c>
      <c r="BM33" t="str">
        <f ca="1">IF(AND(ISNUMBER($BM$235),$B$185=1),$BM$235,HLOOKUP(INDIRECT(ADDRESS(2,COLUMN())),OFFSET($BN$2,0,0,ROW()-1,60),ROW()-1,FALSE))</f>
        <v/>
      </c>
      <c r="BN33" t="str">
        <f>""</f>
        <v/>
      </c>
      <c r="BO33">
        <f>34</f>
        <v>34</v>
      </c>
      <c r="BP33">
        <f>19</f>
        <v>19</v>
      </c>
      <c r="BQ33">
        <f>21</f>
        <v>21</v>
      </c>
      <c r="BR33" t="str">
        <f>""</f>
        <v/>
      </c>
      <c r="BS33">
        <f>23</f>
        <v>23</v>
      </c>
      <c r="BT33">
        <f>25</f>
        <v>25</v>
      </c>
      <c r="BU33">
        <f>22</f>
        <v>22</v>
      </c>
      <c r="BV33">
        <f>6</f>
        <v>6</v>
      </c>
      <c r="BW33" t="str">
        <f>""</f>
        <v/>
      </c>
      <c r="BX33" t="str">
        <f>""</f>
        <v/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>
        <f>0</f>
        <v>0</v>
      </c>
      <c r="CE33" t="str">
        <f>""</f>
        <v/>
      </c>
      <c r="CF33" t="str">
        <f>""</f>
        <v/>
      </c>
      <c r="CG33" t="str">
        <f>""</f>
        <v/>
      </c>
      <c r="CH33">
        <f>0</f>
        <v>0</v>
      </c>
      <c r="CI33" t="str">
        <f>""</f>
        <v/>
      </c>
      <c r="CJ33">
        <f>0</f>
        <v>0</v>
      </c>
      <c r="CK33" t="str">
        <f>""</f>
        <v/>
      </c>
      <c r="CL33">
        <f>0</f>
        <v>0</v>
      </c>
      <c r="CM33">
        <f>0</f>
        <v>0</v>
      </c>
      <c r="CN33">
        <f>0</f>
        <v>0</v>
      </c>
      <c r="CO33">
        <f>0</f>
        <v>0</v>
      </c>
      <c r="CP33">
        <f>0</f>
        <v>0</v>
      </c>
      <c r="CQ33">
        <f>1.486</f>
        <v>1.486</v>
      </c>
      <c r="CR33">
        <f>8.196</f>
        <v>8.1959999999999997</v>
      </c>
      <c r="CS33">
        <f>9.764</f>
        <v>9.7639999999999993</v>
      </c>
      <c r="CT33">
        <f>3.261</f>
        <v>3.2610000000000001</v>
      </c>
      <c r="CU33">
        <f>12.925</f>
        <v>12.925000000000001</v>
      </c>
      <c r="CV33">
        <f>6.957</f>
        <v>6.9569999999999999</v>
      </c>
      <c r="CW33">
        <f>4.138</f>
        <v>4.1379999999999999</v>
      </c>
      <c r="CX33">
        <f>12.265</f>
        <v>12.265000000000001</v>
      </c>
      <c r="CY33">
        <f>7.474</f>
        <v>7.4740000000000002</v>
      </c>
      <c r="CZ33">
        <f>15.968</f>
        <v>15.968</v>
      </c>
      <c r="DA33">
        <f>18.406</f>
        <v>18.405999999999999</v>
      </c>
      <c r="DB33">
        <f>16.446</f>
        <v>16.446000000000002</v>
      </c>
      <c r="DC33">
        <f>16.606</f>
        <v>16.606000000000002</v>
      </c>
      <c r="DD33">
        <f>15.291</f>
        <v>15.291</v>
      </c>
      <c r="DE33">
        <f>14.61</f>
        <v>14.61</v>
      </c>
      <c r="DF33">
        <f>12.753</f>
        <v>12.753</v>
      </c>
      <c r="DG33">
        <f>16.205</f>
        <v>16.204999999999998</v>
      </c>
      <c r="DH33">
        <f>23.216</f>
        <v>23.216000000000001</v>
      </c>
      <c r="DI33">
        <f>26.109</f>
        <v>26.109000000000002</v>
      </c>
      <c r="DJ33">
        <f>32.574</f>
        <v>32.573999999999998</v>
      </c>
      <c r="DK33">
        <f>52.581</f>
        <v>52.581000000000003</v>
      </c>
      <c r="DL33">
        <f>58.323</f>
        <v>58.323</v>
      </c>
      <c r="DM33">
        <f>35.165</f>
        <v>35.164999999999999</v>
      </c>
      <c r="DN33">
        <f>24.688</f>
        <v>24.687999999999999</v>
      </c>
      <c r="DO33">
        <f>24.274</f>
        <v>24.274000000000001</v>
      </c>
      <c r="DP33">
        <f>11.774</f>
        <v>11.773999999999999</v>
      </c>
      <c r="DQ33">
        <f>19.938</f>
        <v>19.937999999999999</v>
      </c>
      <c r="DR33">
        <f>40.386</f>
        <v>40.386000000000003</v>
      </c>
      <c r="DS33">
        <f>76.465</f>
        <v>76.465000000000003</v>
      </c>
      <c r="DT33">
        <f>39.499</f>
        <v>39.499000000000002</v>
      </c>
      <c r="DU33" t="str">
        <f>""</f>
        <v/>
      </c>
    </row>
    <row r="34" spans="1:125">
      <c r="A34" t="str">
        <f>"    Huntington Bancshares Inc/OH"</f>
        <v xml:space="preserve">    Huntington Bancshares Inc/OH</v>
      </c>
      <c r="B34" t="str">
        <f>"HBAN US Equity"</f>
        <v>HBAN US Equity</v>
      </c>
      <c r="C34" t="str">
        <f t="shared" si="1"/>
        <v>A0621</v>
      </c>
      <c r="D34" t="str">
        <f t="shared" si="2"/>
        <v>ARD_MORTGAGE_BANKING_REVENUE</v>
      </c>
      <c r="E34" t="str">
        <f t="shared" si="3"/>
        <v>Dynamic</v>
      </c>
      <c r="F34">
        <f ca="1">IF(AND(ISNUMBER($F$236),$B$185=1),$F$236,HLOOKUP(INDIRECT(ADDRESS(2,COLUMN())),OFFSET($BN$2,0,0,ROW()-1,60),ROW()-1,FALSE))</f>
        <v>31</v>
      </c>
      <c r="G34">
        <f ca="1">IF(AND(ISNUMBER($G$236),$B$185=1),$G$236,HLOOKUP(INDIRECT(ADDRESS(2,COLUMN())),OFFSET($BN$2,0,0,ROW()-1,60),ROW()-1,FALSE))</f>
        <v>38</v>
      </c>
      <c r="H34">
        <f ca="1">IF(AND(ISNUMBER($H$236),$B$185=1),$H$236,HLOOKUP(INDIRECT(ADDRESS(2,COLUMN())),OFFSET($BN$2,0,0,ROW()-1,60),ROW()-1,FALSE))</f>
        <v>30</v>
      </c>
      <c r="I34">
        <f ca="1">IF(AND(ISNUMBER($I$236),$B$185=1),$I$236,HLOOKUP(INDIRECT(ADDRESS(2,COLUMN())),OFFSET($BN$2,0,0,ROW()-1,60),ROW()-1,FALSE))</f>
        <v>31</v>
      </c>
      <c r="J34">
        <f ca="1">IF(AND(ISNUMBER($J$236),$B$185=1),$J$236,HLOOKUP(INDIRECT(ADDRESS(2,COLUMN())),OFFSET($BN$2,0,0,ROW()-1,60),ROW()-1,FALSE))</f>
        <v>23</v>
      </c>
      <c r="K34">
        <f ca="1">IF(AND(ISNUMBER($K$236),$B$185=1),$K$236,HLOOKUP(INDIRECT(ADDRESS(2,COLUMN())),OFFSET($BN$2,0,0,ROW()-1,60),ROW()-1,FALSE))</f>
        <v>27</v>
      </c>
      <c r="L34">
        <f ca="1">IF(AND(ISNUMBER($L$236),$B$185=1),$L$236,HLOOKUP(INDIRECT(ADDRESS(2,COLUMN())),OFFSET($BN$2,0,0,ROW()-1,60),ROW()-1,FALSE))</f>
        <v>33</v>
      </c>
      <c r="M34">
        <f ca="1">IF(AND(ISNUMBER($M$236),$B$185=1),$M$236,HLOOKUP(INDIRECT(ADDRESS(2,COLUMN())),OFFSET($BN$2,0,0,ROW()-1,60),ROW()-1,FALSE))</f>
        <v>26</v>
      </c>
      <c r="N34">
        <f ca="1">IF(AND(ISNUMBER($N$236),$B$185=1),$N$236,HLOOKUP(INDIRECT(ADDRESS(2,COLUMN())),OFFSET($BN$2,0,0,ROW()-1,60),ROW()-1,FALSE))</f>
        <v>25</v>
      </c>
      <c r="O34">
        <f ca="1">IF(AND(ISNUMBER($O$236),$B$185=1),$O$236,HLOOKUP(INDIRECT(ADDRESS(2,COLUMN())),OFFSET($BN$2,0,0,ROW()-1,60),ROW()-1,FALSE))</f>
        <v>26</v>
      </c>
      <c r="P34">
        <f ca="1">IF(AND(ISNUMBER($P$236),$B$185=1),$P$236,HLOOKUP(INDIRECT(ADDRESS(2,COLUMN())),OFFSET($BN$2,0,0,ROW()-1,60),ROW()-1,FALSE))</f>
        <v>44</v>
      </c>
      <c r="Q34">
        <f ca="1">IF(AND(ISNUMBER($Q$236),$B$185=1),$Q$236,HLOOKUP(INDIRECT(ADDRESS(2,COLUMN())),OFFSET($BN$2,0,0,ROW()-1,60),ROW()-1,FALSE))</f>
        <v>49</v>
      </c>
      <c r="R34">
        <f ca="1">IF(AND(ISNUMBER($R$236),$B$185=1),$R$236,HLOOKUP(INDIRECT(ADDRESS(2,COLUMN())),OFFSET($BN$2,0,0,ROW()-1,60),ROW()-1,FALSE))</f>
        <v>61</v>
      </c>
      <c r="S34">
        <f ca="1">IF(AND(ISNUMBER($S$236),$B$185=1),$S$236,HLOOKUP(INDIRECT(ADDRESS(2,COLUMN())),OFFSET($BN$2,0,0,ROW()-1,60),ROW()-1,FALSE))</f>
        <v>81</v>
      </c>
      <c r="T34">
        <f ca="1">IF(AND(ISNUMBER($T$236),$B$185=1),$T$236,HLOOKUP(INDIRECT(ADDRESS(2,COLUMN())),OFFSET($BN$2,0,0,ROW()-1,60),ROW()-1,FALSE))</f>
        <v>67</v>
      </c>
      <c r="U34">
        <f ca="1">IF(AND(ISNUMBER($U$236),$B$185=1),$U$236,HLOOKUP(INDIRECT(ADDRESS(2,COLUMN())),OFFSET($BN$2,0,0,ROW()-1,60),ROW()-1,FALSE))</f>
        <v>100</v>
      </c>
      <c r="V34">
        <f ca="1">IF(AND(ISNUMBER($V$236),$B$185=1),$V$236,HLOOKUP(INDIRECT(ADDRESS(2,COLUMN())),OFFSET($BN$2,0,0,ROW()-1,60),ROW()-1,FALSE))</f>
        <v>90</v>
      </c>
      <c r="W34">
        <f ca="1">IF(AND(ISNUMBER($W$236),$B$185=1),$W$236,HLOOKUP(INDIRECT(ADDRESS(2,COLUMN())),OFFSET($BN$2,0,0,ROW()-1,60),ROW()-1,FALSE))</f>
        <v>122</v>
      </c>
      <c r="X34">
        <f ca="1">IF(AND(ISNUMBER($X$236),$B$185=1),$X$236,HLOOKUP(INDIRECT(ADDRESS(2,COLUMN())),OFFSET($BN$2,0,0,ROW()-1,60),ROW()-1,FALSE))</f>
        <v>96</v>
      </c>
      <c r="Y34">
        <f ca="1">IF(AND(ISNUMBER($Y$236),$B$185=1),$Y$236,HLOOKUP(INDIRECT(ADDRESS(2,COLUMN())),OFFSET($BN$2,0,0,ROW()-1,60),ROW()-1,FALSE))</f>
        <v>58</v>
      </c>
      <c r="Z34">
        <f ca="1">IF(AND(ISNUMBER($Z$236),$B$185=1),$Z$236,HLOOKUP(INDIRECT(ADDRESS(2,COLUMN())),OFFSET($BN$2,0,0,ROW()-1,60),ROW()-1,FALSE))</f>
        <v>58</v>
      </c>
      <c r="AA34">
        <f ca="1">IF(AND(ISNUMBER($AA$236),$B$185=1),$AA$236,HLOOKUP(INDIRECT(ADDRESS(2,COLUMN())),OFFSET($BN$2,0,0,ROW()-1,60),ROW()-1,FALSE))</f>
        <v>54</v>
      </c>
      <c r="AB34">
        <f ca="1">IF(AND(ISNUMBER($AB$236),$B$185=1),$AB$236,HLOOKUP(INDIRECT(ADDRESS(2,COLUMN())),OFFSET($BN$2,0,0,ROW()-1,60),ROW()-1,FALSE))</f>
        <v>34</v>
      </c>
      <c r="AC34">
        <f ca="1">IF(AND(ISNUMBER($AC$236),$B$185=1),$AC$236,HLOOKUP(INDIRECT(ADDRESS(2,COLUMN())),OFFSET($BN$2,0,0,ROW()-1,60),ROW()-1,FALSE))</f>
        <v>21</v>
      </c>
      <c r="AD34">
        <f ca="1">IF(AND(ISNUMBER($AD$236),$B$185=1),$AD$236,HLOOKUP(INDIRECT(ADDRESS(2,COLUMN())),OFFSET($BN$2,0,0,ROW()-1,60),ROW()-1,FALSE))</f>
        <v>23</v>
      </c>
      <c r="AE34">
        <f ca="1">IF(AND(ISNUMBER($AE$236),$B$185=1),$AE$236,HLOOKUP(INDIRECT(ADDRESS(2,COLUMN())),OFFSET($BN$2,0,0,ROW()-1,60),ROW()-1,FALSE))</f>
        <v>31</v>
      </c>
      <c r="AF34">
        <f ca="1">IF(AND(ISNUMBER($AF$236),$B$185=1),$AF$236,HLOOKUP(INDIRECT(ADDRESS(2,COLUMN())),OFFSET($BN$2,0,0,ROW()-1,60),ROW()-1,FALSE))</f>
        <v>28</v>
      </c>
      <c r="AG34">
        <f ca="1">IF(AND(ISNUMBER($AG$236),$B$185=1),$AG$236,HLOOKUP(INDIRECT(ADDRESS(2,COLUMN())),OFFSET($BN$2,0,0,ROW()-1,60),ROW()-1,FALSE))</f>
        <v>26</v>
      </c>
      <c r="AH34">
        <f ca="1">IF(AND(ISNUMBER($AH$236),$B$185=1),$AH$236,HLOOKUP(INDIRECT(ADDRESS(2,COLUMN())),OFFSET($BN$2,0,0,ROW()-1,60),ROW()-1,FALSE))</f>
        <v>33</v>
      </c>
      <c r="AI34">
        <f ca="1">IF(AND(ISNUMBER($AI$236),$B$185=1),$AI$236,HLOOKUP(INDIRECT(ADDRESS(2,COLUMN())),OFFSET($BN$2,0,0,ROW()-1,60),ROW()-1,FALSE))</f>
        <v>34</v>
      </c>
      <c r="AJ34">
        <f ca="1">IF(AND(ISNUMBER($AJ$236),$B$185=1),$AJ$236,HLOOKUP(INDIRECT(ADDRESS(2,COLUMN())),OFFSET($BN$2,0,0,ROW()-1,60),ROW()-1,FALSE))</f>
        <v>32</v>
      </c>
      <c r="AK34">
        <f ca="1">IF(AND(ISNUMBER($AK$236),$B$185=1),$AK$236,HLOOKUP(INDIRECT(ADDRESS(2,COLUMN())),OFFSET($BN$2,0,0,ROW()-1,60),ROW()-1,FALSE))</f>
        <v>32</v>
      </c>
      <c r="AL34">
        <f ca="1">IF(AND(ISNUMBER($AL$236),$B$185=1),$AL$236,HLOOKUP(INDIRECT(ADDRESS(2,COLUMN())),OFFSET($BN$2,0,0,ROW()-1,60),ROW()-1,FALSE))</f>
        <v>37.520000000000003</v>
      </c>
      <c r="AM34">
        <f ca="1">IF(AND(ISNUMBER($AM$236),$B$185=1),$AM$236,HLOOKUP(INDIRECT(ADDRESS(2,COLUMN())),OFFSET($BN$2,0,0,ROW()-1,60),ROW()-1,FALSE))</f>
        <v>40.603000000000002</v>
      </c>
      <c r="AN34">
        <f ca="1">IF(AND(ISNUMBER($AN$236),$B$185=1),$AN$236,HLOOKUP(INDIRECT(ADDRESS(2,COLUMN())),OFFSET($BN$2,0,0,ROW()-1,60),ROW()-1,FALSE))</f>
        <v>31.591000000000001</v>
      </c>
      <c r="AO34">
        <f ca="1">IF(AND(ISNUMBER($AO$236),$B$185=1),$AO$236,HLOOKUP(INDIRECT(ADDRESS(2,COLUMN())),OFFSET($BN$2,0,0,ROW()-1,60),ROW()-1,FALSE))</f>
        <v>18.542999999999999</v>
      </c>
      <c r="AP34">
        <f ca="1">IF(AND(ISNUMBER($AP$236),$B$185=1),$AP$236,HLOOKUP(INDIRECT(ADDRESS(2,COLUMN())),OFFSET($BN$2,0,0,ROW()-1,60),ROW()-1,FALSE))</f>
        <v>31.417999999999999</v>
      </c>
      <c r="AQ34">
        <f ca="1">IF(AND(ISNUMBER($AQ$236),$B$185=1),$AQ$236,HLOOKUP(INDIRECT(ADDRESS(2,COLUMN())),OFFSET($BN$2,0,0,ROW()-1,60),ROW()-1,FALSE))</f>
        <v>18.956</v>
      </c>
      <c r="AR34">
        <f ca="1">IF(AND(ISNUMBER($AR$236),$B$185=1),$AR$236,HLOOKUP(INDIRECT(ADDRESS(2,COLUMN())),OFFSET($BN$2,0,0,ROW()-1,60),ROW()-1,FALSE))</f>
        <v>38.518000000000001</v>
      </c>
      <c r="AS34">
        <f ca="1">IF(AND(ISNUMBER($AS$236),$B$185=1),$AS$236,HLOOKUP(INDIRECT(ADDRESS(2,COLUMN())),OFFSET($BN$2,0,0,ROW()-1,60),ROW()-1,FALSE))</f>
        <v>22.960999999999999</v>
      </c>
      <c r="AT34">
        <f ca="1">IF(AND(ISNUMBER($AT$236),$B$185=1),$AT$236,HLOOKUP(INDIRECT(ADDRESS(2,COLUMN())),OFFSET($BN$2,0,0,ROW()-1,60),ROW()-1,FALSE))</f>
        <v>14.03</v>
      </c>
      <c r="AU34">
        <f ca="1">IF(AND(ISNUMBER($AU$236),$B$185=1),$AU$236,HLOOKUP(INDIRECT(ADDRESS(2,COLUMN())),OFFSET($BN$2,0,0,ROW()-1,60),ROW()-1,FALSE))</f>
        <v>25.050999999999998</v>
      </c>
      <c r="AV34">
        <f ca="1">IF(AND(ISNUMBER($AV$236),$B$185=1),$AV$236,HLOOKUP(INDIRECT(ADDRESS(2,COLUMN())),OFFSET($BN$2,0,0,ROW()-1,60),ROW()-1,FALSE))</f>
        <v>22.716999999999999</v>
      </c>
      <c r="AW34">
        <f ca="1">IF(AND(ISNUMBER($AW$236),$B$185=1),$AW$236,HLOOKUP(INDIRECT(ADDRESS(2,COLUMN())),OFFSET($BN$2,0,0,ROW()-1,60),ROW()-1,FALSE))</f>
        <v>23.088999999999999</v>
      </c>
      <c r="AX34">
        <f ca="1">IF(AND(ISNUMBER($AX$236),$B$185=1),$AX$236,HLOOKUP(INDIRECT(ADDRESS(2,COLUMN())),OFFSET($BN$2,0,0,ROW()-1,60),ROW()-1,FALSE))</f>
        <v>24.327000000000002</v>
      </c>
      <c r="AY34">
        <f ca="1">IF(AND(ISNUMBER($AY$236),$B$185=1),$AY$236,HLOOKUP(INDIRECT(ADDRESS(2,COLUMN())),OFFSET($BN$2,0,0,ROW()-1,60),ROW()-1,FALSE))</f>
        <v>23.620999999999999</v>
      </c>
      <c r="AZ34">
        <f ca="1">IF(AND(ISNUMBER($AZ$236),$B$185=1),$AZ$236,HLOOKUP(INDIRECT(ADDRESS(2,COLUMN())),OFFSET($BN$2,0,0,ROW()-1,60),ROW()-1,FALSE))</f>
        <v>33.658999999999999</v>
      </c>
      <c r="BA34">
        <f ca="1">IF(AND(ISNUMBER($BA$236),$B$185=1),$BA$236,HLOOKUP(INDIRECT(ADDRESS(2,COLUMN())),OFFSET($BN$2,0,0,ROW()-1,60),ROW()-1,FALSE))</f>
        <v>45.247999999999998</v>
      </c>
      <c r="BB34">
        <f ca="1">IF(AND(ISNUMBER($BB$236),$B$185=1),$BB$236,HLOOKUP(INDIRECT(ADDRESS(2,COLUMN())),OFFSET($BN$2,0,0,ROW()-1,60),ROW()-1,FALSE))</f>
        <v>61.710999999999999</v>
      </c>
      <c r="BC34">
        <f ca="1">IF(AND(ISNUMBER($BC$236),$B$185=1),$BC$236,HLOOKUP(INDIRECT(ADDRESS(2,COLUMN())),OFFSET($BN$2,0,0,ROW()-1,60),ROW()-1,FALSE))</f>
        <v>44.613999999999997</v>
      </c>
      <c r="BD34">
        <f ca="1">IF(AND(ISNUMBER($BD$236),$B$185=1),$BD$236,HLOOKUP(INDIRECT(ADDRESS(2,COLUMN())),OFFSET($BN$2,0,0,ROW()-1,60),ROW()-1,FALSE))</f>
        <v>38.348999999999997</v>
      </c>
      <c r="BE34">
        <f ca="1">IF(AND(ISNUMBER($BE$236),$B$185=1),$BE$236,HLOOKUP(INDIRECT(ADDRESS(2,COLUMN())),OFFSET($BN$2,0,0,ROW()-1,60),ROW()-1,FALSE))</f>
        <v>46.417999999999999</v>
      </c>
      <c r="BF34">
        <f ca="1">IF(AND(ISNUMBER($BF$236),$B$185=1),$BF$236,HLOOKUP(INDIRECT(ADDRESS(2,COLUMN())),OFFSET($BN$2,0,0,ROW()-1,60),ROW()-1,FALSE))</f>
        <v>24.097999999999999</v>
      </c>
      <c r="BG34">
        <f ca="1">IF(AND(ISNUMBER($BG$236),$B$185=1),$BG$236,HLOOKUP(INDIRECT(ADDRESS(2,COLUMN())),OFFSET($BN$2,0,0,ROW()-1,60),ROW()-1,FALSE))</f>
        <v>12.791</v>
      </c>
      <c r="BH34">
        <f ca="1">IF(AND(ISNUMBER($BH$236),$B$185=1),$BH$236,HLOOKUP(INDIRECT(ADDRESS(2,COLUMN())),OFFSET($BN$2,0,0,ROW()-1,60),ROW()-1,FALSE))</f>
        <v>23.835000000000001</v>
      </c>
      <c r="BI34">
        <f ca="1">IF(AND(ISNUMBER($BI$236),$B$185=1),$BI$236,HLOOKUP(INDIRECT(ADDRESS(2,COLUMN())),OFFSET($BN$2,0,0,ROW()-1,60),ROW()-1,FALSE))</f>
        <v>22.684000000000001</v>
      </c>
      <c r="BJ34">
        <f ca="1">IF(AND(ISNUMBER($BJ$236),$B$185=1),$BJ$236,HLOOKUP(INDIRECT(ADDRESS(2,COLUMN())),OFFSET($BN$2,0,0,ROW()-1,60),ROW()-1,FALSE))</f>
        <v>53.168999999999997</v>
      </c>
      <c r="BK34">
        <f ca="1">IF(AND(ISNUMBER($BK$236),$B$185=1),$BK$236,HLOOKUP(INDIRECT(ADDRESS(2,COLUMN())),OFFSET($BN$2,0,0,ROW()-1,60),ROW()-1,FALSE))</f>
        <v>52.045000000000002</v>
      </c>
      <c r="BL34">
        <f ca="1">IF(AND(ISNUMBER($BL$236),$B$185=1),$BL$236,HLOOKUP(INDIRECT(ADDRESS(2,COLUMN())),OFFSET($BN$2,0,0,ROW()-1,60),ROW()-1,FALSE))</f>
        <v>45.53</v>
      </c>
      <c r="BM34" t="str">
        <f ca="1">IF(AND(ISNUMBER($BM$236),$B$185=1),$BM$236,HLOOKUP(INDIRECT(ADDRESS(2,COLUMN())),OFFSET($BN$2,0,0,ROW()-1,60),ROW()-1,FALSE))</f>
        <v/>
      </c>
      <c r="BN34">
        <f>31</f>
        <v>31</v>
      </c>
      <c r="BO34">
        <f>38</f>
        <v>38</v>
      </c>
      <c r="BP34">
        <f>30</f>
        <v>30</v>
      </c>
      <c r="BQ34">
        <f>31</f>
        <v>31</v>
      </c>
      <c r="BR34">
        <f>23</f>
        <v>23</v>
      </c>
      <c r="BS34">
        <f>27</f>
        <v>27</v>
      </c>
      <c r="BT34">
        <f>33</f>
        <v>33</v>
      </c>
      <c r="BU34">
        <f>26</f>
        <v>26</v>
      </c>
      <c r="BV34">
        <f>25</f>
        <v>25</v>
      </c>
      <c r="BW34">
        <f>26</f>
        <v>26</v>
      </c>
      <c r="BX34">
        <f>44</f>
        <v>44</v>
      </c>
      <c r="BY34">
        <f>49</f>
        <v>49</v>
      </c>
      <c r="BZ34">
        <f>61</f>
        <v>61</v>
      </c>
      <c r="CA34">
        <f>81</f>
        <v>81</v>
      </c>
      <c r="CB34">
        <f>67</f>
        <v>67</v>
      </c>
      <c r="CC34">
        <f>100</f>
        <v>100</v>
      </c>
      <c r="CD34">
        <f>90</f>
        <v>90</v>
      </c>
      <c r="CE34">
        <f>122</f>
        <v>122</v>
      </c>
      <c r="CF34">
        <f>96</f>
        <v>96</v>
      </c>
      <c r="CG34">
        <f>58</f>
        <v>58</v>
      </c>
      <c r="CH34">
        <f>58</f>
        <v>58</v>
      </c>
      <c r="CI34">
        <f>54</f>
        <v>54</v>
      </c>
      <c r="CJ34">
        <f>34</f>
        <v>34</v>
      </c>
      <c r="CK34">
        <f>21</f>
        <v>21</v>
      </c>
      <c r="CL34">
        <f>23</f>
        <v>23</v>
      </c>
      <c r="CM34">
        <f>31</f>
        <v>31</v>
      </c>
      <c r="CN34">
        <f>28</f>
        <v>28</v>
      </c>
      <c r="CO34">
        <f>26</f>
        <v>26</v>
      </c>
      <c r="CP34">
        <f>33</f>
        <v>33</v>
      </c>
      <c r="CQ34">
        <f>34</f>
        <v>34</v>
      </c>
      <c r="CR34">
        <f>32</f>
        <v>32</v>
      </c>
      <c r="CS34">
        <f>32</f>
        <v>32</v>
      </c>
      <c r="CT34">
        <f>37.52</f>
        <v>37.520000000000003</v>
      </c>
      <c r="CU34">
        <f>40.603</f>
        <v>40.603000000000002</v>
      </c>
      <c r="CV34">
        <f>31.591</f>
        <v>31.591000000000001</v>
      </c>
      <c r="CW34">
        <f>18.543</f>
        <v>18.542999999999999</v>
      </c>
      <c r="CX34">
        <f>31.418</f>
        <v>31.417999999999999</v>
      </c>
      <c r="CY34">
        <f>18.956</f>
        <v>18.956</v>
      </c>
      <c r="CZ34">
        <f>38.518</f>
        <v>38.518000000000001</v>
      </c>
      <c r="DA34">
        <f>22.961</f>
        <v>22.960999999999999</v>
      </c>
      <c r="DB34">
        <f>14.03</f>
        <v>14.03</v>
      </c>
      <c r="DC34">
        <f>25.051</f>
        <v>25.050999999999998</v>
      </c>
      <c r="DD34">
        <f>22.717</f>
        <v>22.716999999999999</v>
      </c>
      <c r="DE34">
        <f>23.089</f>
        <v>23.088999999999999</v>
      </c>
      <c r="DF34">
        <f>24.327</f>
        <v>24.327000000000002</v>
      </c>
      <c r="DG34">
        <f>23.621</f>
        <v>23.620999999999999</v>
      </c>
      <c r="DH34">
        <f>33.659</f>
        <v>33.658999999999999</v>
      </c>
      <c r="DI34">
        <f>45.248</f>
        <v>45.247999999999998</v>
      </c>
      <c r="DJ34">
        <f>61.711</f>
        <v>61.710999999999999</v>
      </c>
      <c r="DK34">
        <f>44.614</f>
        <v>44.613999999999997</v>
      </c>
      <c r="DL34">
        <f>38.349</f>
        <v>38.348999999999997</v>
      </c>
      <c r="DM34">
        <f>46.418</f>
        <v>46.417999999999999</v>
      </c>
      <c r="DN34">
        <f>24.098</f>
        <v>24.097999999999999</v>
      </c>
      <c r="DO34">
        <f>12.791</f>
        <v>12.791</v>
      </c>
      <c r="DP34">
        <f>23.835</f>
        <v>23.835000000000001</v>
      </c>
      <c r="DQ34">
        <f>22.684</f>
        <v>22.684000000000001</v>
      </c>
      <c r="DR34">
        <f>53.169</f>
        <v>53.168999999999997</v>
      </c>
      <c r="DS34">
        <f>52.045</f>
        <v>52.045000000000002</v>
      </c>
      <c r="DT34">
        <f>45.53</f>
        <v>45.53</v>
      </c>
      <c r="DU34" t="str">
        <f>""</f>
        <v/>
      </c>
    </row>
    <row r="35" spans="1:125">
      <c r="A35" t="str">
        <f>"    JPMorgan Chase &amp; Co"</f>
        <v xml:space="preserve">    JPMorgan Chase &amp; Co</v>
      </c>
      <c r="B35" t="str">
        <f>"JPM US Equity"</f>
        <v>JPM US Equity</v>
      </c>
      <c r="C35" t="str">
        <f t="shared" si="1"/>
        <v>A0621</v>
      </c>
      <c r="D35" t="str">
        <f t="shared" si="2"/>
        <v>ARD_MORTGAGE_BANKING_REVENUE</v>
      </c>
      <c r="E35" t="str">
        <f t="shared" si="3"/>
        <v>Dynamic</v>
      </c>
      <c r="F35">
        <f ca="1">IF(AND(ISNUMBER($F$237),$B$185=1),$F$237,HLOOKUP(INDIRECT(ADDRESS(2,COLUMN())),OFFSET($BN$2,0,0,ROW()-1,60),ROW()-1,FALSE))</f>
        <v>376</v>
      </c>
      <c r="G35">
        <f ca="1">IF(AND(ISNUMBER($G$237),$B$185=1),$G$237,HLOOKUP(INDIRECT(ADDRESS(2,COLUMN())),OFFSET($BN$2,0,0,ROW()-1,60),ROW()-1,FALSE))</f>
        <v>402</v>
      </c>
      <c r="H35">
        <f ca="1">IF(AND(ISNUMBER($H$237),$B$185=1),$H$237,HLOOKUP(INDIRECT(ADDRESS(2,COLUMN())),OFFSET($BN$2,0,0,ROW()-1,60),ROW()-1,FALSE))</f>
        <v>348</v>
      </c>
      <c r="I35">
        <f ca="1">IF(AND(ISNUMBER($I$237),$B$185=1),$I$237,HLOOKUP(INDIRECT(ADDRESS(2,COLUMN())),OFFSET($BN$2,0,0,ROW()-1,60),ROW()-1,FALSE))</f>
        <v>275</v>
      </c>
      <c r="J35">
        <f ca="1">IF(AND(ISNUMBER($J$237),$B$185=1),$J$237,HLOOKUP(INDIRECT(ADDRESS(2,COLUMN())),OFFSET($BN$2,0,0,ROW()-1,60),ROW()-1,FALSE))</f>
        <v>263</v>
      </c>
      <c r="K35">
        <f ca="1">IF(AND(ISNUMBER($K$237),$B$185=1),$K$237,HLOOKUP(INDIRECT(ADDRESS(2,COLUMN())),OFFSET($BN$2,0,0,ROW()-1,60),ROW()-1,FALSE))</f>
        <v>414</v>
      </c>
      <c r="L35">
        <f ca="1">IF(AND(ISNUMBER($L$237),$B$185=1),$L$237,HLOOKUP(INDIRECT(ADDRESS(2,COLUMN())),OFFSET($BN$2,0,0,ROW()-1,60),ROW()-1,FALSE))</f>
        <v>278</v>
      </c>
      <c r="M35">
        <f ca="1">IF(AND(ISNUMBER($M$237),$B$185=1),$M$237,HLOOKUP(INDIRECT(ADDRESS(2,COLUMN())),OFFSET($BN$2,0,0,ROW()-1,60),ROW()-1,FALSE))</f>
        <v>221</v>
      </c>
      <c r="N35">
        <f ca="1">IF(AND(ISNUMBER($N$237),$B$185=1),$N$237,HLOOKUP(INDIRECT(ADDRESS(2,COLUMN())),OFFSET($BN$2,0,0,ROW()-1,60),ROW()-1,FALSE))</f>
        <v>98</v>
      </c>
      <c r="O35">
        <f ca="1">IF(AND(ISNUMBER($O$237),$B$185=1),$O$237,HLOOKUP(INDIRECT(ADDRESS(2,COLUMN())),OFFSET($BN$2,0,0,ROW()-1,60),ROW()-1,FALSE))</f>
        <v>314</v>
      </c>
      <c r="P35">
        <f ca="1">IF(AND(ISNUMBER($P$237),$B$185=1),$P$237,HLOOKUP(INDIRECT(ADDRESS(2,COLUMN())),OFFSET($BN$2,0,0,ROW()-1,60),ROW()-1,FALSE))</f>
        <v>378</v>
      </c>
      <c r="Q35">
        <f ca="1">IF(AND(ISNUMBER($Q$237),$B$185=1),$Q$237,HLOOKUP(INDIRECT(ADDRESS(2,COLUMN())),OFFSET($BN$2,0,0,ROW()-1,60),ROW()-1,FALSE))</f>
        <v>460</v>
      </c>
      <c r="R35">
        <f ca="1">IF(AND(ISNUMBER($R$237),$B$185=1),$R$237,HLOOKUP(INDIRECT(ADDRESS(2,COLUMN())),OFFSET($BN$2,0,0,ROW()-1,60),ROW()-1,FALSE))</f>
        <v>315</v>
      </c>
      <c r="S35">
        <f ca="1">IF(AND(ISNUMBER($S$237),$B$185=1),$S$237,HLOOKUP(INDIRECT(ADDRESS(2,COLUMN())),OFFSET($BN$2,0,0,ROW()-1,60),ROW()-1,FALSE))</f>
        <v>600</v>
      </c>
      <c r="T35">
        <f ca="1">IF(AND(ISNUMBER($T$237),$B$185=1),$T$237,HLOOKUP(INDIRECT(ADDRESS(2,COLUMN())),OFFSET($BN$2,0,0,ROW()-1,60),ROW()-1,FALSE))</f>
        <v>551</v>
      </c>
      <c r="U35">
        <f ca="1">IF(AND(ISNUMBER($U$237),$B$185=1),$U$237,HLOOKUP(INDIRECT(ADDRESS(2,COLUMN())),OFFSET($BN$2,0,0,ROW()-1,60),ROW()-1,FALSE))</f>
        <v>704</v>
      </c>
      <c r="V35">
        <f ca="1">IF(AND(ISNUMBER($V$237),$B$185=1),$V$237,HLOOKUP(INDIRECT(ADDRESS(2,COLUMN())),OFFSET($BN$2,0,0,ROW()-1,60),ROW()-1,FALSE))</f>
        <v>767</v>
      </c>
      <c r="W35">
        <f ca="1">IF(AND(ISNUMBER($W$237),$B$185=1),$W$237,HLOOKUP(INDIRECT(ADDRESS(2,COLUMN())),OFFSET($BN$2,0,0,ROW()-1,60),ROW()-1,FALSE))</f>
        <v>1087</v>
      </c>
      <c r="X35">
        <f ca="1">IF(AND(ISNUMBER($X$237),$B$185=1),$X$237,HLOOKUP(INDIRECT(ADDRESS(2,COLUMN())),OFFSET($BN$2,0,0,ROW()-1,60),ROW()-1,FALSE))</f>
        <v>917</v>
      </c>
      <c r="Y35">
        <f ca="1">IF(AND(ISNUMBER($Y$237),$B$185=1),$Y$237,HLOOKUP(INDIRECT(ADDRESS(2,COLUMN())),OFFSET($BN$2,0,0,ROW()-1,60),ROW()-1,FALSE))</f>
        <v>320</v>
      </c>
      <c r="Z35" t="str">
        <f ca="1">IF(AND(ISNUMBER($Z$237),$B$185=1),$Z$237,HLOOKUP(INDIRECT(ADDRESS(2,COLUMN())),OFFSET($BN$2,0,0,ROW()-1,60),ROW()-1,FALSE))</f>
        <v/>
      </c>
      <c r="AA35">
        <f ca="1">IF(AND(ISNUMBER($AA$237),$B$185=1),$AA$237,HLOOKUP(INDIRECT(ADDRESS(2,COLUMN())),OFFSET($BN$2,0,0,ROW()-1,60),ROW()-1,FALSE))</f>
        <v>887</v>
      </c>
      <c r="AB35">
        <f ca="1">IF(AND(ISNUMBER($AB$237),$B$185=1),$AB$237,HLOOKUP(INDIRECT(ADDRESS(2,COLUMN())),OFFSET($BN$2,0,0,ROW()-1,60),ROW()-1,FALSE))</f>
        <v>279</v>
      </c>
      <c r="AC35">
        <f ca="1">IF(AND(ISNUMBER($AC$237),$B$185=1),$AC$237,HLOOKUP(INDIRECT(ADDRESS(2,COLUMN())),OFFSET($BN$2,0,0,ROW()-1,60),ROW()-1,FALSE))</f>
        <v>396</v>
      </c>
      <c r="AD35">
        <f ca="1">IF(AND(ISNUMBER($AD$237),$B$185=1),$AD$237,HLOOKUP(INDIRECT(ADDRESS(2,COLUMN())),OFFSET($BN$2,0,0,ROW()-1,60),ROW()-1,FALSE))</f>
        <v>203</v>
      </c>
      <c r="AE35">
        <f ca="1">IF(AND(ISNUMBER($AE$237),$B$185=1),$AE$237,HLOOKUP(INDIRECT(ADDRESS(2,COLUMN())),OFFSET($BN$2,0,0,ROW()-1,60),ROW()-1,FALSE))</f>
        <v>262</v>
      </c>
      <c r="AF35">
        <f ca="1">IF(AND(ISNUMBER($AF$237),$B$185=1),$AF$237,HLOOKUP(INDIRECT(ADDRESS(2,COLUMN())),OFFSET($BN$2,0,0,ROW()-1,60),ROW()-1,FALSE))</f>
        <v>324</v>
      </c>
      <c r="AG35">
        <f ca="1">IF(AND(ISNUMBER($AG$237),$B$185=1),$AG$237,HLOOKUP(INDIRECT(ADDRESS(2,COLUMN())),OFFSET($BN$2,0,0,ROW()-1,60),ROW()-1,FALSE))</f>
        <v>465</v>
      </c>
      <c r="AH35">
        <f ca="1">IF(AND(ISNUMBER($AH$237),$B$185=1),$AH$237,HLOOKUP(INDIRECT(ADDRESS(2,COLUMN())),OFFSET($BN$2,0,0,ROW()-1,60),ROW()-1,FALSE))</f>
        <v>377</v>
      </c>
      <c r="AI35">
        <f ca="1">IF(AND(ISNUMBER($AI$237),$B$185=1),$AI$237,HLOOKUP(INDIRECT(ADDRESS(2,COLUMN())),OFFSET($BN$2,0,0,ROW()-1,60),ROW()-1,FALSE))</f>
        <v>429</v>
      </c>
      <c r="AJ35">
        <f ca="1">IF(AND(ISNUMBER($AJ$237),$B$185=1),$AJ$237,HLOOKUP(INDIRECT(ADDRESS(2,COLUMN())),OFFSET($BN$2,0,0,ROW()-1,60),ROW()-1,FALSE))</f>
        <v>404</v>
      </c>
      <c r="AK35">
        <f ca="1">IF(AND(ISNUMBER($AK$237),$B$185=1),$AK$237,HLOOKUP(INDIRECT(ADDRESS(2,COLUMN())),OFFSET($BN$2,0,0,ROW()-1,60),ROW()-1,FALSE))</f>
        <v>406</v>
      </c>
      <c r="AL35">
        <f ca="1">IF(AND(ISNUMBER($AL$237),$B$185=1),$AL$237,HLOOKUP(INDIRECT(ADDRESS(2,COLUMN())),OFFSET($BN$2,0,0,ROW()-1,60),ROW()-1,FALSE))</f>
        <v>511</v>
      </c>
      <c r="AM35">
        <f ca="1">IF(AND(ISNUMBER($AM$237),$B$185=1),$AM$237,HLOOKUP(INDIRECT(ADDRESS(2,COLUMN())),OFFSET($BN$2,0,0,ROW()-1,60),ROW()-1,FALSE))</f>
        <v>624</v>
      </c>
      <c r="AN35">
        <f ca="1">IF(AND(ISNUMBER($AN$237),$B$185=1),$AN$237,HLOOKUP(INDIRECT(ADDRESS(2,COLUMN())),OFFSET($BN$2,0,0,ROW()-1,60),ROW()-1,FALSE))</f>
        <v>689</v>
      </c>
      <c r="AO35">
        <f ca="1">IF(AND(ISNUMBER($AO$237),$B$185=1),$AO$237,HLOOKUP(INDIRECT(ADDRESS(2,COLUMN())),OFFSET($BN$2,0,0,ROW()-1,60),ROW()-1,FALSE))</f>
        <v>667</v>
      </c>
      <c r="AP35">
        <f ca="1">IF(AND(ISNUMBER($AP$237),$B$185=1),$AP$237,HLOOKUP(INDIRECT(ADDRESS(2,COLUMN())),OFFSET($BN$2,0,0,ROW()-1,60),ROW()-1,FALSE))</f>
        <v>556</v>
      </c>
      <c r="AQ35">
        <f ca="1">IF(AND(ISNUMBER($AQ$237),$B$185=1),$AQ$237,HLOOKUP(INDIRECT(ADDRESS(2,COLUMN())),OFFSET($BN$2,0,0,ROW()-1,60),ROW()-1,FALSE))</f>
        <v>469</v>
      </c>
      <c r="AR35">
        <f ca="1">IF(AND(ISNUMBER($AR$237),$B$185=1),$AR$237,HLOOKUP(INDIRECT(ADDRESS(2,COLUMN())),OFFSET($BN$2,0,0,ROW()-1,60),ROW()-1,FALSE))</f>
        <v>783</v>
      </c>
      <c r="AS35">
        <f ca="1">IF(AND(ISNUMBER($AS$237),$B$185=1),$AS$237,HLOOKUP(INDIRECT(ADDRESS(2,COLUMN())),OFFSET($BN$2,0,0,ROW()-1,60),ROW()-1,FALSE))</f>
        <v>705</v>
      </c>
      <c r="AT35">
        <f ca="1">IF(AND(ISNUMBER($AT$237),$B$185=1),$AT$237,HLOOKUP(INDIRECT(ADDRESS(2,COLUMN())),OFFSET($BN$2,0,0,ROW()-1,60),ROW()-1,FALSE))</f>
        <v>855</v>
      </c>
      <c r="AU35">
        <f ca="1">IF(AND(ISNUMBER($AU$237),$B$185=1),$AU$237,HLOOKUP(INDIRECT(ADDRESS(2,COLUMN())),OFFSET($BN$2,0,0,ROW()-1,60),ROW()-1,FALSE))</f>
        <v>903</v>
      </c>
      <c r="AV35">
        <f ca="1">IF(AND(ISNUMBER($AV$237),$B$185=1),$AV$237,HLOOKUP(INDIRECT(ADDRESS(2,COLUMN())),OFFSET($BN$2,0,0,ROW()-1,60),ROW()-1,FALSE))</f>
        <v>1291</v>
      </c>
      <c r="AW35">
        <f ca="1">IF(AND(ISNUMBER($AW$237),$B$185=1),$AW$237,HLOOKUP(INDIRECT(ADDRESS(2,COLUMN())),OFFSET($BN$2,0,0,ROW()-1,60),ROW()-1,FALSE))</f>
        <v>514</v>
      </c>
      <c r="AX35">
        <f ca="1">IF(AND(ISNUMBER($AX$237),$B$185=1),$AX$237,HLOOKUP(INDIRECT(ADDRESS(2,COLUMN())),OFFSET($BN$2,0,0,ROW()-1,60),ROW()-1,FALSE))</f>
        <v>1089</v>
      </c>
      <c r="AY35">
        <f ca="1">IF(AND(ISNUMBER($AY$237),$B$185=1),$AY$237,HLOOKUP(INDIRECT(ADDRESS(2,COLUMN())),OFFSET($BN$2,0,0,ROW()-1,60),ROW()-1,FALSE))</f>
        <v>841</v>
      </c>
      <c r="AZ35">
        <f ca="1">IF(AND(ISNUMBER($AZ$237),$B$185=1),$AZ$237,HLOOKUP(INDIRECT(ADDRESS(2,COLUMN())),OFFSET($BN$2,0,0,ROW()-1,60),ROW()-1,FALSE))</f>
        <v>1823</v>
      </c>
      <c r="BA35">
        <f ca="1">IF(AND(ISNUMBER($BA$237),$B$185=1),$BA$237,HLOOKUP(INDIRECT(ADDRESS(2,COLUMN())),OFFSET($BN$2,0,0,ROW()-1,60),ROW()-1,FALSE))</f>
        <v>1452</v>
      </c>
      <c r="BB35">
        <f ca="1">IF(AND(ISNUMBER($BB$237),$B$185=1),$BB$237,HLOOKUP(INDIRECT(ADDRESS(2,COLUMN())),OFFSET($BN$2,0,0,ROW()-1,60),ROW()-1,FALSE))</f>
        <v>2035</v>
      </c>
      <c r="BC35">
        <f ca="1">IF(AND(ISNUMBER($BC$237),$B$185=1),$BC$237,HLOOKUP(INDIRECT(ADDRESS(2,COLUMN())),OFFSET($BN$2,0,0,ROW()-1,60),ROW()-1,FALSE))</f>
        <v>2377</v>
      </c>
      <c r="BD35">
        <f ca="1">IF(AND(ISNUMBER($BD$237),$B$185=1),$BD$237,HLOOKUP(INDIRECT(ADDRESS(2,COLUMN())),OFFSET($BN$2,0,0,ROW()-1,60),ROW()-1,FALSE))</f>
        <v>2265</v>
      </c>
      <c r="BE35">
        <f ca="1">IF(AND(ISNUMBER($BE$237),$B$185=1),$BE$237,HLOOKUP(INDIRECT(ADDRESS(2,COLUMN())),OFFSET($BN$2,0,0,ROW()-1,60),ROW()-1,FALSE))</f>
        <v>2010</v>
      </c>
      <c r="BF35">
        <f ca="1">IF(AND(ISNUMBER($BF$237),$B$185=1),$BF$237,HLOOKUP(INDIRECT(ADDRESS(2,COLUMN())),OFFSET($BN$2,0,0,ROW()-1,60),ROW()-1,FALSE))</f>
        <v>725</v>
      </c>
      <c r="BG35">
        <f ca="1">IF(AND(ISNUMBER($BG$237),$B$185=1),$BG$237,HLOOKUP(INDIRECT(ADDRESS(2,COLUMN())),OFFSET($BN$2,0,0,ROW()-1,60),ROW()-1,FALSE))</f>
        <v>1380</v>
      </c>
      <c r="BH35">
        <f ca="1">IF(AND(ISNUMBER($BH$237),$B$185=1),$BH$237,HLOOKUP(INDIRECT(ADDRESS(2,COLUMN())),OFFSET($BN$2,0,0,ROW()-1,60),ROW()-1,FALSE))</f>
        <v>1103</v>
      </c>
      <c r="BI35">
        <f ca="1">IF(AND(ISNUMBER($BI$237),$B$185=1),$BI$237,HLOOKUP(INDIRECT(ADDRESS(2,COLUMN())),OFFSET($BN$2,0,0,ROW()-1,60),ROW()-1,FALSE))</f>
        <v>-487</v>
      </c>
      <c r="BJ35">
        <f ca="1">IF(AND(ISNUMBER($BJ$237),$B$185=1),$BJ$237,HLOOKUP(INDIRECT(ADDRESS(2,COLUMN())),OFFSET($BN$2,0,0,ROW()-1,60),ROW()-1,FALSE))</f>
        <v>1617</v>
      </c>
      <c r="BK35">
        <f ca="1">IF(AND(ISNUMBER($BK$237),$B$185=1),$BK$237,HLOOKUP(INDIRECT(ADDRESS(2,COLUMN())),OFFSET($BN$2,0,0,ROW()-1,60),ROW()-1,FALSE))</f>
        <v>707</v>
      </c>
      <c r="BL35">
        <f ca="1">IF(AND(ISNUMBER($BL$237),$B$185=1),$BL$237,HLOOKUP(INDIRECT(ADDRESS(2,COLUMN())),OFFSET($BN$2,0,0,ROW()-1,60),ROW()-1,FALSE))</f>
        <v>888</v>
      </c>
      <c r="BM35">
        <f ca="1">IF(AND(ISNUMBER($BM$237),$B$185=1),$BM$237,HLOOKUP(INDIRECT(ADDRESS(2,COLUMN())),OFFSET($BN$2,0,0,ROW()-1,60),ROW()-1,FALSE))</f>
        <v>658</v>
      </c>
      <c r="BN35">
        <f>376</f>
        <v>376</v>
      </c>
      <c r="BO35">
        <f>402</f>
        <v>402</v>
      </c>
      <c r="BP35">
        <f>348</f>
        <v>348</v>
      </c>
      <c r="BQ35">
        <f>275</f>
        <v>275</v>
      </c>
      <c r="BR35">
        <f>263</f>
        <v>263</v>
      </c>
      <c r="BS35">
        <f>414</f>
        <v>414</v>
      </c>
      <c r="BT35">
        <f>278</f>
        <v>278</v>
      </c>
      <c r="BU35">
        <f>221</f>
        <v>221</v>
      </c>
      <c r="BV35">
        <f>98</f>
        <v>98</v>
      </c>
      <c r="BW35">
        <f>314</f>
        <v>314</v>
      </c>
      <c r="BX35">
        <f>378</f>
        <v>378</v>
      </c>
      <c r="BY35">
        <f>460</f>
        <v>460</v>
      </c>
      <c r="BZ35">
        <f>315</f>
        <v>315</v>
      </c>
      <c r="CA35">
        <f>600</f>
        <v>600</v>
      </c>
      <c r="CB35">
        <f>551</f>
        <v>551</v>
      </c>
      <c r="CC35">
        <f>704</f>
        <v>704</v>
      </c>
      <c r="CD35">
        <f>767</f>
        <v>767</v>
      </c>
      <c r="CE35">
        <f>1087</f>
        <v>1087</v>
      </c>
      <c r="CF35">
        <f>917</f>
        <v>917</v>
      </c>
      <c r="CG35">
        <f>320</f>
        <v>320</v>
      </c>
      <c r="CH35" t="str">
        <f>""</f>
        <v/>
      </c>
      <c r="CI35">
        <f>887</f>
        <v>887</v>
      </c>
      <c r="CJ35">
        <f>279</f>
        <v>279</v>
      </c>
      <c r="CK35">
        <f>396</f>
        <v>396</v>
      </c>
      <c r="CL35">
        <f>203</f>
        <v>203</v>
      </c>
      <c r="CM35">
        <f>262</f>
        <v>262</v>
      </c>
      <c r="CN35">
        <f>324</f>
        <v>324</v>
      </c>
      <c r="CO35">
        <f>465</f>
        <v>465</v>
      </c>
      <c r="CP35">
        <f>377</f>
        <v>377</v>
      </c>
      <c r="CQ35">
        <f>429</f>
        <v>429</v>
      </c>
      <c r="CR35">
        <f>404</f>
        <v>404</v>
      </c>
      <c r="CS35">
        <f>406</f>
        <v>406</v>
      </c>
      <c r="CT35">
        <f>511</f>
        <v>511</v>
      </c>
      <c r="CU35">
        <f>624</f>
        <v>624</v>
      </c>
      <c r="CV35">
        <f>689</f>
        <v>689</v>
      </c>
      <c r="CW35">
        <f>667</f>
        <v>667</v>
      </c>
      <c r="CX35">
        <f>556</f>
        <v>556</v>
      </c>
      <c r="CY35">
        <f>469</f>
        <v>469</v>
      </c>
      <c r="CZ35">
        <f>783</f>
        <v>783</v>
      </c>
      <c r="DA35">
        <f>705</f>
        <v>705</v>
      </c>
      <c r="DB35">
        <f>855</f>
        <v>855</v>
      </c>
      <c r="DC35">
        <f>903</f>
        <v>903</v>
      </c>
      <c r="DD35">
        <f>1291</f>
        <v>1291</v>
      </c>
      <c r="DE35">
        <f>514</f>
        <v>514</v>
      </c>
      <c r="DF35">
        <f>1089</f>
        <v>1089</v>
      </c>
      <c r="DG35">
        <f>841</f>
        <v>841</v>
      </c>
      <c r="DH35">
        <f>1823</f>
        <v>1823</v>
      </c>
      <c r="DI35">
        <f>1452</f>
        <v>1452</v>
      </c>
      <c r="DJ35">
        <f>2035</f>
        <v>2035</v>
      </c>
      <c r="DK35">
        <f>2377</f>
        <v>2377</v>
      </c>
      <c r="DL35">
        <f>2265</f>
        <v>2265</v>
      </c>
      <c r="DM35">
        <f>2010</f>
        <v>2010</v>
      </c>
      <c r="DN35">
        <f>725</f>
        <v>725</v>
      </c>
      <c r="DO35">
        <f>1380</f>
        <v>1380</v>
      </c>
      <c r="DP35">
        <f>1103</f>
        <v>1103</v>
      </c>
      <c r="DQ35">
        <f>-487</f>
        <v>-487</v>
      </c>
      <c r="DR35">
        <f>1617</f>
        <v>1617</v>
      </c>
      <c r="DS35">
        <f>707</f>
        <v>707</v>
      </c>
      <c r="DT35">
        <f>888</f>
        <v>888</v>
      </c>
      <c r="DU35">
        <f>658</f>
        <v>658</v>
      </c>
    </row>
    <row r="36" spans="1:125">
      <c r="A36" t="str">
        <f>"    KeyCorp"</f>
        <v xml:space="preserve">    KeyCorp</v>
      </c>
      <c r="B36" t="str">
        <f>"KEY US Equity"</f>
        <v>KEY US Equity</v>
      </c>
      <c r="C36" t="str">
        <f t="shared" si="1"/>
        <v>A0621</v>
      </c>
      <c r="D36" t="str">
        <f t="shared" si="2"/>
        <v>ARD_MORTGAGE_BANKING_REVENUE</v>
      </c>
      <c r="E36" t="str">
        <f t="shared" si="3"/>
        <v>Dynamic</v>
      </c>
      <c r="F36">
        <f ca="1">IF(AND(ISNUMBER($F$238),$B$185=1),$F$238,HLOOKUP(INDIRECT(ADDRESS(2,COLUMN())),OFFSET($BN$2,0,0,ROW()-1,60),ROW()-1,FALSE))</f>
        <v>16</v>
      </c>
      <c r="G36">
        <f ca="1">IF(AND(ISNUMBER($G$238),$B$185=1),$G$238,HLOOKUP(INDIRECT(ADDRESS(2,COLUMN())),OFFSET($BN$2,0,0,ROW()-1,60),ROW()-1,FALSE))</f>
        <v>12</v>
      </c>
      <c r="H36">
        <f ca="1">IF(AND(ISNUMBER($H$238),$B$185=1),$H$238,HLOOKUP(INDIRECT(ADDRESS(2,COLUMN())),OFFSET($BN$2,0,0,ROW()-1,60),ROW()-1,FALSE))</f>
        <v>16</v>
      </c>
      <c r="I36">
        <f ca="1">IF(AND(ISNUMBER($I$238),$B$185=1),$I$238,HLOOKUP(INDIRECT(ADDRESS(2,COLUMN())),OFFSET($BN$2,0,0,ROW()-1,60),ROW()-1,FALSE))</f>
        <v>14</v>
      </c>
      <c r="J36">
        <f ca="1">IF(AND(ISNUMBER($J$238),$B$185=1),$J$238,HLOOKUP(INDIRECT(ADDRESS(2,COLUMN())),OFFSET($BN$2,0,0,ROW()-1,60),ROW()-1,FALSE))</f>
        <v>11</v>
      </c>
      <c r="K36">
        <f ca="1">IF(AND(ISNUMBER($K$238),$B$185=1),$K$238,HLOOKUP(INDIRECT(ADDRESS(2,COLUMN())),OFFSET($BN$2,0,0,ROW()-1,60),ROW()-1,FALSE))</f>
        <v>15</v>
      </c>
      <c r="L36">
        <f ca="1">IF(AND(ISNUMBER($L$238),$B$185=1),$L$238,HLOOKUP(INDIRECT(ADDRESS(2,COLUMN())),OFFSET($BN$2,0,0,ROW()-1,60),ROW()-1,FALSE))</f>
        <v>14</v>
      </c>
      <c r="M36">
        <f ca="1">IF(AND(ISNUMBER($M$238),$B$185=1),$M$238,HLOOKUP(INDIRECT(ADDRESS(2,COLUMN())),OFFSET($BN$2,0,0,ROW()-1,60),ROW()-1,FALSE))</f>
        <v>11</v>
      </c>
      <c r="N36">
        <f ca="1">IF(AND(ISNUMBER($N$238),$B$185=1),$N$238,HLOOKUP(INDIRECT(ADDRESS(2,COLUMN())),OFFSET($BN$2,0,0,ROW()-1,60),ROW()-1,FALSE))</f>
        <v>9</v>
      </c>
      <c r="O36">
        <f ca="1">IF(AND(ISNUMBER($O$238),$B$185=1),$O$238,HLOOKUP(INDIRECT(ADDRESS(2,COLUMN())),OFFSET($BN$2,0,0,ROW()-1,60),ROW()-1,FALSE))</f>
        <v>14</v>
      </c>
      <c r="P36">
        <f ca="1">IF(AND(ISNUMBER($P$238),$B$185=1),$P$238,HLOOKUP(INDIRECT(ADDRESS(2,COLUMN())),OFFSET($BN$2,0,0,ROW()-1,60),ROW()-1,FALSE))</f>
        <v>14</v>
      </c>
      <c r="Q36">
        <f ca="1">IF(AND(ISNUMBER($Q$238),$B$185=1),$Q$238,HLOOKUP(INDIRECT(ADDRESS(2,COLUMN())),OFFSET($BN$2,0,0,ROW()-1,60),ROW()-1,FALSE))</f>
        <v>21</v>
      </c>
      <c r="R36">
        <f ca="1">IF(AND(ISNUMBER($R$238),$B$185=1),$R$238,HLOOKUP(INDIRECT(ADDRESS(2,COLUMN())),OFFSET($BN$2,0,0,ROW()-1,60),ROW()-1,FALSE))</f>
        <v>25</v>
      </c>
      <c r="S36">
        <f ca="1">IF(AND(ISNUMBER($S$238),$B$185=1),$S$238,HLOOKUP(INDIRECT(ADDRESS(2,COLUMN())),OFFSET($BN$2,0,0,ROW()-1,60),ROW()-1,FALSE))</f>
        <v>33</v>
      </c>
      <c r="T36">
        <f ca="1">IF(AND(ISNUMBER($T$238),$B$185=1),$T$238,HLOOKUP(INDIRECT(ADDRESS(2,COLUMN())),OFFSET($BN$2,0,0,ROW()-1,60),ROW()-1,FALSE))</f>
        <v>26</v>
      </c>
      <c r="U36">
        <f ca="1">IF(AND(ISNUMBER($U$238),$B$185=1),$U$238,HLOOKUP(INDIRECT(ADDRESS(2,COLUMN())),OFFSET($BN$2,0,0,ROW()-1,60),ROW()-1,FALSE))</f>
        <v>47</v>
      </c>
      <c r="V36">
        <f ca="1">IF(AND(ISNUMBER($V$238),$B$185=1),$V$238,HLOOKUP(INDIRECT(ADDRESS(2,COLUMN())),OFFSET($BN$2,0,0,ROW()-1,60),ROW()-1,FALSE))</f>
        <v>43</v>
      </c>
      <c r="W36">
        <f ca="1">IF(AND(ISNUMBER($W$238),$B$185=1),$W$238,HLOOKUP(INDIRECT(ADDRESS(2,COLUMN())),OFFSET($BN$2,0,0,ROW()-1,60),ROW()-1,FALSE))</f>
        <v>51</v>
      </c>
      <c r="X36">
        <f ca="1">IF(AND(ISNUMBER($X$238),$B$185=1),$X$238,HLOOKUP(INDIRECT(ADDRESS(2,COLUMN())),OFFSET($BN$2,0,0,ROW()-1,60),ROW()-1,FALSE))</f>
        <v>62</v>
      </c>
      <c r="Y36">
        <f ca="1">IF(AND(ISNUMBER($Y$238),$B$185=1),$Y$238,HLOOKUP(INDIRECT(ADDRESS(2,COLUMN())),OFFSET($BN$2,0,0,ROW()-1,60),ROW()-1,FALSE))</f>
        <v>20</v>
      </c>
      <c r="Z36">
        <f ca="1">IF(AND(ISNUMBER($Z$238),$B$185=1),$Z$238,HLOOKUP(INDIRECT(ADDRESS(2,COLUMN())),OFFSET($BN$2,0,0,ROW()-1,60),ROW()-1,FALSE))</f>
        <v>21</v>
      </c>
      <c r="AA36">
        <f ca="1">IF(AND(ISNUMBER($AA$238),$B$185=1),$AA$238,HLOOKUP(INDIRECT(ADDRESS(2,COLUMN())),OFFSET($BN$2,0,0,ROW()-1,60),ROW()-1,FALSE))</f>
        <v>16</v>
      </c>
      <c r="AB36">
        <f ca="1">IF(AND(ISNUMBER($AB$238),$B$185=1),$AB$238,HLOOKUP(INDIRECT(ADDRESS(2,COLUMN())),OFFSET($BN$2,0,0,ROW()-1,60),ROW()-1,FALSE))</f>
        <v>15</v>
      </c>
      <c r="AC36">
        <f ca="1">IF(AND(ISNUMBER($AC$238),$B$185=1),$AC$238,HLOOKUP(INDIRECT(ADDRESS(2,COLUMN())),OFFSET($BN$2,0,0,ROW()-1,60),ROW()-1,FALSE))</f>
        <v>8</v>
      </c>
      <c r="AD36" t="str">
        <f ca="1">IF(AND(ISNUMBER($AD$238),$B$185=1),$AD$238,HLOOKUP(INDIRECT(ADDRESS(2,COLUMN())),OFFSET($BN$2,0,0,ROW()-1,60),ROW()-1,FALSE))</f>
        <v/>
      </c>
      <c r="AE36">
        <f ca="1">IF(AND(ISNUMBER($AE$238),$B$185=1),$AE$238,HLOOKUP(INDIRECT(ADDRESS(2,COLUMN())),OFFSET($BN$2,0,0,ROW()-1,60),ROW()-1,FALSE))</f>
        <v>9</v>
      </c>
      <c r="AF36">
        <f ca="1">IF(AND(ISNUMBER($AF$238),$B$185=1),$AF$238,HLOOKUP(INDIRECT(ADDRESS(2,COLUMN())),OFFSET($BN$2,0,0,ROW()-1,60),ROW()-1,FALSE))</f>
        <v>7</v>
      </c>
      <c r="AG36">
        <f ca="1">IF(AND(ISNUMBER($AG$238),$B$185=1),$AG$238,HLOOKUP(INDIRECT(ADDRESS(2,COLUMN())),OFFSET($BN$2,0,0,ROW()-1,60),ROW()-1,FALSE))</f>
        <v>7</v>
      </c>
      <c r="AH36">
        <f ca="1">IF(AND(ISNUMBER($AH$238),$B$185=1),$AH$238,HLOOKUP(INDIRECT(ADDRESS(2,COLUMN())),OFFSET($BN$2,0,0,ROW()-1,60),ROW()-1,FALSE))</f>
        <v>7</v>
      </c>
      <c r="AI36">
        <f ca="1">IF(AND(ISNUMBER($AI$238),$B$185=1),$AI$238,HLOOKUP(INDIRECT(ADDRESS(2,COLUMN())),OFFSET($BN$2,0,0,ROW()-1,60),ROW()-1,FALSE))</f>
        <v>7</v>
      </c>
      <c r="AJ36">
        <f ca="1">IF(AND(ISNUMBER($AJ$238),$B$185=1),$AJ$238,HLOOKUP(INDIRECT(ADDRESS(2,COLUMN())),OFFSET($BN$2,0,0,ROW()-1,60),ROW()-1,FALSE))</f>
        <v>6</v>
      </c>
      <c r="AK36">
        <f ca="1">IF(AND(ISNUMBER($AK$238),$B$185=1),$AK$238,HLOOKUP(INDIRECT(ADDRESS(2,COLUMN())),OFFSET($BN$2,0,0,ROW()-1,60),ROW()-1,FALSE))</f>
        <v>6</v>
      </c>
      <c r="AL36">
        <f ca="1">IF(AND(ISNUMBER($AL$238),$B$185=1),$AL$238,HLOOKUP(INDIRECT(ADDRESS(2,COLUMN())),OFFSET($BN$2,0,0,ROW()-1,60),ROW()-1,FALSE))</f>
        <v>6</v>
      </c>
      <c r="AM36">
        <f ca="1">IF(AND(ISNUMBER($AM$238),$B$185=1),$AM$238,HLOOKUP(INDIRECT(ADDRESS(2,COLUMN())),OFFSET($BN$2,0,0,ROW()-1,60),ROW()-1,FALSE))</f>
        <v>6</v>
      </c>
      <c r="AN36">
        <f ca="1">IF(AND(ISNUMBER($AN$238),$B$185=1),$AN$238,HLOOKUP(INDIRECT(ADDRESS(2,COLUMN())),OFFSET($BN$2,0,0,ROW()-1,60),ROW()-1,FALSE))</f>
        <v>3</v>
      </c>
      <c r="AO36">
        <f ca="1">IF(AND(ISNUMBER($AO$238),$B$185=1),$AO$238,HLOOKUP(INDIRECT(ADDRESS(2,COLUMN())),OFFSET($BN$2,0,0,ROW()-1,60),ROW()-1,FALSE))</f>
        <v>2</v>
      </c>
      <c r="AP36">
        <f ca="1">IF(AND(ISNUMBER($AP$238),$B$185=1),$AP$238,HLOOKUP(INDIRECT(ADDRESS(2,COLUMN())),OFFSET($BN$2,0,0,ROW()-1,60),ROW()-1,FALSE))</f>
        <v>2</v>
      </c>
      <c r="AQ36">
        <f ca="1">IF(AND(ISNUMBER($AQ$238),$B$185=1),$AQ$238,HLOOKUP(INDIRECT(ADDRESS(2,COLUMN())),OFFSET($BN$2,0,0,ROW()-1,60),ROW()-1,FALSE))</f>
        <v>3</v>
      </c>
      <c r="AR36">
        <f ca="1">IF(AND(ISNUMBER($AR$238),$B$185=1),$AR$238,HLOOKUP(INDIRECT(ADDRESS(2,COLUMN())),OFFSET($BN$2,0,0,ROW()-1,60),ROW()-1,FALSE))</f>
        <v>4</v>
      </c>
      <c r="AS36">
        <f ca="1">IF(AND(ISNUMBER($AS$238),$B$185=1),$AS$238,HLOOKUP(INDIRECT(ADDRESS(2,COLUMN())),OFFSET($BN$2,0,0,ROW()-1,60),ROW()-1,FALSE))</f>
        <v>3</v>
      </c>
      <c r="AT36">
        <f ca="1">IF(AND(ISNUMBER($AT$238),$B$185=1),$AT$238,HLOOKUP(INDIRECT(ADDRESS(2,COLUMN())),OFFSET($BN$2,0,0,ROW()-1,60),ROW()-1,FALSE))</f>
        <v>3</v>
      </c>
      <c r="AU36">
        <f ca="1">IF(AND(ISNUMBER($AU$238),$B$185=1),$AU$238,HLOOKUP(INDIRECT(ADDRESS(2,COLUMN())),OFFSET($BN$2,0,0,ROW()-1,60),ROW()-1,FALSE))</f>
        <v>3</v>
      </c>
      <c r="AV36">
        <f ca="1">IF(AND(ISNUMBER($AV$238),$B$185=1),$AV$238,HLOOKUP(INDIRECT(ADDRESS(2,COLUMN())),OFFSET($BN$2,0,0,ROW()-1,60),ROW()-1,FALSE))</f>
        <v>2</v>
      </c>
      <c r="AW36">
        <f ca="1">IF(AND(ISNUMBER($AW$238),$B$185=1),$AW$238,HLOOKUP(INDIRECT(ADDRESS(2,COLUMN())),OFFSET($BN$2,0,0,ROW()-1,60),ROW()-1,FALSE))</f>
        <v>2</v>
      </c>
      <c r="AX36">
        <f ca="1">IF(AND(ISNUMBER($AX$238),$B$185=1),$AX$238,HLOOKUP(INDIRECT(ADDRESS(2,COLUMN())),OFFSET($BN$2,0,0,ROW()-1,60),ROW()-1,FALSE))</f>
        <v>3</v>
      </c>
      <c r="AY36">
        <f ca="1">IF(AND(ISNUMBER($AY$238),$B$185=1),$AY$238,HLOOKUP(INDIRECT(ADDRESS(2,COLUMN())),OFFSET($BN$2,0,0,ROW()-1,60),ROW()-1,FALSE))</f>
        <v>3</v>
      </c>
      <c r="AZ36">
        <f ca="1">IF(AND(ISNUMBER($AZ$238),$B$185=1),$AZ$238,HLOOKUP(INDIRECT(ADDRESS(2,COLUMN())),OFFSET($BN$2,0,0,ROW()-1,60),ROW()-1,FALSE))</f>
        <v>6</v>
      </c>
      <c r="BA36">
        <f ca="1">IF(AND(ISNUMBER($BA$238),$B$185=1),$BA$238,HLOOKUP(INDIRECT(ADDRESS(2,COLUMN())),OFFSET($BN$2,0,0,ROW()-1,60),ROW()-1,FALSE))</f>
        <v>7</v>
      </c>
      <c r="BB36">
        <f ca="1">IF(AND(ISNUMBER($BB$238),$B$185=1),$BB$238,HLOOKUP(INDIRECT(ADDRESS(2,COLUMN())),OFFSET($BN$2,0,0,ROW()-1,60),ROW()-1,FALSE))</f>
        <v>11</v>
      </c>
      <c r="BC36">
        <f ca="1">IF(AND(ISNUMBER($BC$238),$B$185=1),$BC$238,HLOOKUP(INDIRECT(ADDRESS(2,COLUMN())),OFFSET($BN$2,0,0,ROW()-1,60),ROW()-1,FALSE))</f>
        <v>11</v>
      </c>
      <c r="BD36">
        <f ca="1">IF(AND(ISNUMBER($BD$238),$B$185=1),$BD$238,HLOOKUP(INDIRECT(ADDRESS(2,COLUMN())),OFFSET($BN$2,0,0,ROW()-1,60),ROW()-1,FALSE))</f>
        <v>9</v>
      </c>
      <c r="BE36">
        <f ca="1">IF(AND(ISNUMBER($BE$238),$B$185=1),$BE$238,HLOOKUP(INDIRECT(ADDRESS(2,COLUMN())),OFFSET($BN$2,0,0,ROW()-1,60),ROW()-1,FALSE))</f>
        <v>9</v>
      </c>
      <c r="BF36" t="str">
        <f ca="1">IF(AND(ISNUMBER($BF$238),$B$185=1),$BF$238,HLOOKUP(INDIRECT(ADDRESS(2,COLUMN())),OFFSET($BN$2,0,0,ROW()-1,60),ROW()-1,FALSE))</f>
        <v/>
      </c>
      <c r="BG36" t="str">
        <f ca="1">IF(AND(ISNUMBER($BG$238),$B$185=1),$BG$238,HLOOKUP(INDIRECT(ADDRESS(2,COLUMN())),OFFSET($BN$2,0,0,ROW()-1,60),ROW()-1,FALSE))</f>
        <v/>
      </c>
      <c r="BH36" t="str">
        <f ca="1">IF(AND(ISNUMBER($BH$238),$B$185=1),$BH$238,HLOOKUP(INDIRECT(ADDRESS(2,COLUMN())),OFFSET($BN$2,0,0,ROW()-1,60),ROW()-1,FALSE))</f>
        <v/>
      </c>
      <c r="BI36" t="str">
        <f ca="1">IF(AND(ISNUMBER($BI$238),$B$185=1),$BI$238,HLOOKUP(INDIRECT(ADDRESS(2,COLUMN())),OFFSET($BN$2,0,0,ROW()-1,60),ROW()-1,FALSE))</f>
        <v/>
      </c>
      <c r="BJ36" t="str">
        <f ca="1">IF(AND(ISNUMBER($BJ$238),$B$185=1),$BJ$238,HLOOKUP(INDIRECT(ADDRESS(2,COLUMN())),OFFSET($BN$2,0,0,ROW()-1,60),ROW()-1,FALSE))</f>
        <v/>
      </c>
      <c r="BK36" t="str">
        <f ca="1">IF(AND(ISNUMBER($BK$238),$B$185=1),$BK$238,HLOOKUP(INDIRECT(ADDRESS(2,COLUMN())),OFFSET($BN$2,0,0,ROW()-1,60),ROW()-1,FALSE))</f>
        <v/>
      </c>
      <c r="BL36" t="str">
        <f ca="1">IF(AND(ISNUMBER($BL$238),$B$185=1),$BL$238,HLOOKUP(INDIRECT(ADDRESS(2,COLUMN())),OFFSET($BN$2,0,0,ROW()-1,60),ROW()-1,FALSE))</f>
        <v/>
      </c>
      <c r="BM36" t="str">
        <f ca="1">IF(AND(ISNUMBER($BM$238),$B$185=1),$BM$238,HLOOKUP(INDIRECT(ADDRESS(2,COLUMN())),OFFSET($BN$2,0,0,ROW()-1,60),ROW()-1,FALSE))</f>
        <v/>
      </c>
      <c r="BN36">
        <f>16</f>
        <v>16</v>
      </c>
      <c r="BO36">
        <f>12</f>
        <v>12</v>
      </c>
      <c r="BP36">
        <f>16</f>
        <v>16</v>
      </c>
      <c r="BQ36">
        <f>14</f>
        <v>14</v>
      </c>
      <c r="BR36">
        <f>11</f>
        <v>11</v>
      </c>
      <c r="BS36">
        <f>15</f>
        <v>15</v>
      </c>
      <c r="BT36">
        <f>14</f>
        <v>14</v>
      </c>
      <c r="BU36">
        <f>11</f>
        <v>11</v>
      </c>
      <c r="BV36">
        <f>9</f>
        <v>9</v>
      </c>
      <c r="BW36">
        <f>14</f>
        <v>14</v>
      </c>
      <c r="BX36">
        <f>14</f>
        <v>14</v>
      </c>
      <c r="BY36">
        <f>21</f>
        <v>21</v>
      </c>
      <c r="BZ36">
        <f>25</f>
        <v>25</v>
      </c>
      <c r="CA36">
        <f>33</f>
        <v>33</v>
      </c>
      <c r="CB36">
        <f>26</f>
        <v>26</v>
      </c>
      <c r="CC36">
        <f>47</f>
        <v>47</v>
      </c>
      <c r="CD36">
        <f>43</f>
        <v>43</v>
      </c>
      <c r="CE36">
        <f>51</f>
        <v>51</v>
      </c>
      <c r="CF36">
        <f>62</f>
        <v>62</v>
      </c>
      <c r="CG36">
        <f>20</f>
        <v>20</v>
      </c>
      <c r="CH36">
        <f>21</f>
        <v>21</v>
      </c>
      <c r="CI36">
        <f>16</f>
        <v>16</v>
      </c>
      <c r="CJ36">
        <f>15</f>
        <v>15</v>
      </c>
      <c r="CK36">
        <f>8</f>
        <v>8</v>
      </c>
      <c r="CL36" t="str">
        <f>""</f>
        <v/>
      </c>
      <c r="CM36">
        <f>9</f>
        <v>9</v>
      </c>
      <c r="CN36">
        <f>7</f>
        <v>7</v>
      </c>
      <c r="CO36">
        <f>7</f>
        <v>7</v>
      </c>
      <c r="CP36">
        <f>7</f>
        <v>7</v>
      </c>
      <c r="CQ36">
        <f>7</f>
        <v>7</v>
      </c>
      <c r="CR36">
        <f>6</f>
        <v>6</v>
      </c>
      <c r="CS36">
        <f>6</f>
        <v>6</v>
      </c>
      <c r="CT36">
        <f>6</f>
        <v>6</v>
      </c>
      <c r="CU36">
        <f>6</f>
        <v>6</v>
      </c>
      <c r="CV36">
        <f>3</f>
        <v>3</v>
      </c>
      <c r="CW36">
        <f>2</f>
        <v>2</v>
      </c>
      <c r="CX36">
        <f>2</f>
        <v>2</v>
      </c>
      <c r="CY36">
        <f>3</f>
        <v>3</v>
      </c>
      <c r="CZ36">
        <f>4</f>
        <v>4</v>
      </c>
      <c r="DA36">
        <f>3</f>
        <v>3</v>
      </c>
      <c r="DB36">
        <f>3</f>
        <v>3</v>
      </c>
      <c r="DC36">
        <f>3</f>
        <v>3</v>
      </c>
      <c r="DD36">
        <f>2</f>
        <v>2</v>
      </c>
      <c r="DE36">
        <f>2</f>
        <v>2</v>
      </c>
      <c r="DF36">
        <f>3</f>
        <v>3</v>
      </c>
      <c r="DG36">
        <f>3</f>
        <v>3</v>
      </c>
      <c r="DH36">
        <f>6</f>
        <v>6</v>
      </c>
      <c r="DI36">
        <f>7</f>
        <v>7</v>
      </c>
      <c r="DJ36">
        <f>11</f>
        <v>11</v>
      </c>
      <c r="DK36">
        <f>11</f>
        <v>11</v>
      </c>
      <c r="DL36">
        <f>9</f>
        <v>9</v>
      </c>
      <c r="DM36">
        <f>9</f>
        <v>9</v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>
      <c r="A37" t="str">
        <f>"    M&amp;T Bank Corp"</f>
        <v xml:space="preserve">    M&amp;T Bank Corp</v>
      </c>
      <c r="B37" t="str">
        <f>"MTB US Equity"</f>
        <v>MTB US Equity</v>
      </c>
      <c r="C37" t="str">
        <f t="shared" si="1"/>
        <v>A0621</v>
      </c>
      <c r="D37" t="str">
        <f t="shared" si="2"/>
        <v>ARD_MORTGAGE_BANKING_REVENUE</v>
      </c>
      <c r="E37" t="str">
        <f t="shared" si="3"/>
        <v>Dynamic</v>
      </c>
      <c r="F37">
        <f ca="1">IF(AND(ISNUMBER($F$239),$B$185=1),$F$239,HLOOKUP(INDIRECT(ADDRESS(2,COLUMN())),OFFSET($BN$2,0,0,ROW()-1,60),ROW()-1,FALSE))</f>
        <v>117</v>
      </c>
      <c r="G37">
        <f ca="1">IF(AND(ISNUMBER($G$239),$B$185=1),$G$239,HLOOKUP(INDIRECT(ADDRESS(2,COLUMN())),OFFSET($BN$2,0,0,ROW()-1,60),ROW()-1,FALSE))</f>
        <v>109</v>
      </c>
      <c r="H37">
        <f ca="1">IF(AND(ISNUMBER($H$239),$B$185=1),$H$239,HLOOKUP(INDIRECT(ADDRESS(2,COLUMN())),OFFSET($BN$2,0,0,ROW()-1,60),ROW()-1,FALSE))</f>
        <v>106</v>
      </c>
      <c r="I37">
        <f ca="1">IF(AND(ISNUMBER($I$239),$B$185=1),$I$239,HLOOKUP(INDIRECT(ADDRESS(2,COLUMN())),OFFSET($BN$2,0,0,ROW()-1,60),ROW()-1,FALSE))</f>
        <v>104</v>
      </c>
      <c r="J37">
        <f ca="1">IF(AND(ISNUMBER($J$239),$B$185=1),$J$239,HLOOKUP(INDIRECT(ADDRESS(2,COLUMN())),OFFSET($BN$2,0,0,ROW()-1,60),ROW()-1,FALSE))</f>
        <v>112</v>
      </c>
      <c r="K37">
        <f ca="1">IF(AND(ISNUMBER($K$239),$B$185=1),$K$239,HLOOKUP(INDIRECT(ADDRESS(2,COLUMN())),OFFSET($BN$2,0,0,ROW()-1,60),ROW()-1,FALSE))</f>
        <v>104.47799999999999</v>
      </c>
      <c r="L37">
        <f ca="1">IF(AND(ISNUMBER($L$239),$B$185=1),$L$239,HLOOKUP(INDIRECT(ADDRESS(2,COLUMN())),OFFSET($BN$2,0,0,ROW()-1,60),ROW()-1,FALSE))</f>
        <v>107.11199999999999</v>
      </c>
      <c r="M37">
        <f ca="1">IF(AND(ISNUMBER($M$239),$B$185=1),$M$239,HLOOKUP(INDIRECT(ADDRESS(2,COLUMN())),OFFSET($BN$2,0,0,ROW()-1,60),ROW()-1,FALSE))</f>
        <v>84.984999999999999</v>
      </c>
      <c r="N37">
        <f ca="1">IF(AND(ISNUMBER($N$239),$B$185=1),$N$239,HLOOKUP(INDIRECT(ADDRESS(2,COLUMN())),OFFSET($BN$2,0,0,ROW()-1,60),ROW()-1,FALSE))</f>
        <v>81.521000000000001</v>
      </c>
      <c r="O37">
        <f ca="1">IF(AND(ISNUMBER($O$239),$B$185=1),$O$239,HLOOKUP(INDIRECT(ADDRESS(2,COLUMN())),OFFSET($BN$2,0,0,ROW()-1,60),ROW()-1,FALSE))</f>
        <v>83.040999999999997</v>
      </c>
      <c r="P37">
        <f ca="1">IF(AND(ISNUMBER($P$239),$B$185=1),$P$239,HLOOKUP(INDIRECT(ADDRESS(2,COLUMN())),OFFSET($BN$2,0,0,ROW()-1,60),ROW()-1,FALSE))</f>
        <v>82.926000000000002</v>
      </c>
      <c r="Q37">
        <f ca="1">IF(AND(ISNUMBER($Q$239),$B$185=1),$Q$239,HLOOKUP(INDIRECT(ADDRESS(2,COLUMN())),OFFSET($BN$2,0,0,ROW()-1,60),ROW()-1,FALSE))</f>
        <v>109.148</v>
      </c>
      <c r="R37">
        <f ca="1">IF(AND(ISNUMBER($R$239),$B$185=1),$R$239,HLOOKUP(INDIRECT(ADDRESS(2,COLUMN())),OFFSET($BN$2,0,0,ROW()-1,60),ROW()-1,FALSE))</f>
        <v>139.267</v>
      </c>
      <c r="S37">
        <f ca="1">IF(AND(ISNUMBER($S$239),$B$185=1),$S$239,HLOOKUP(INDIRECT(ADDRESS(2,COLUMN())),OFFSET($BN$2,0,0,ROW()-1,60),ROW()-1,FALSE))</f>
        <v>159.995</v>
      </c>
      <c r="T37">
        <f ca="1">IF(AND(ISNUMBER($T$239),$B$185=1),$T$239,HLOOKUP(INDIRECT(ADDRESS(2,COLUMN())),OFFSET($BN$2,0,0,ROW()-1,60),ROW()-1,FALSE))</f>
        <v>133.31299999999999</v>
      </c>
      <c r="U37">
        <f ca="1">IF(AND(ISNUMBER($U$239),$B$185=1),$U$239,HLOOKUP(INDIRECT(ADDRESS(2,COLUMN())),OFFSET($BN$2,0,0,ROW()-1,60),ROW()-1,FALSE))</f>
        <v>138.75399999999999</v>
      </c>
      <c r="V37">
        <f ca="1">IF(AND(ISNUMBER($V$239),$B$185=1),$V$239,HLOOKUP(INDIRECT(ADDRESS(2,COLUMN())),OFFSET($BN$2,0,0,ROW()-1,60),ROW()-1,FALSE))</f>
        <v>140.441</v>
      </c>
      <c r="W37">
        <f ca="1">IF(AND(ISNUMBER($W$239),$B$185=1),$W$239,HLOOKUP(INDIRECT(ADDRESS(2,COLUMN())),OFFSET($BN$2,0,0,ROW()-1,60),ROW()-1,FALSE))</f>
        <v>153.267</v>
      </c>
      <c r="X37">
        <f ca="1">IF(AND(ISNUMBER($X$239),$B$185=1),$X$239,HLOOKUP(INDIRECT(ADDRESS(2,COLUMN())),OFFSET($BN$2,0,0,ROW()-1,60),ROW()-1,FALSE))</f>
        <v>145.024</v>
      </c>
      <c r="Y37">
        <f ca="1">IF(AND(ISNUMBER($Y$239),$B$185=1),$Y$239,HLOOKUP(INDIRECT(ADDRESS(2,COLUMN())),OFFSET($BN$2,0,0,ROW()-1,60),ROW()-1,FALSE))</f>
        <v>127.90900000000001</v>
      </c>
      <c r="Z37">
        <f ca="1">IF(AND(ISNUMBER($Z$239),$B$185=1),$Z$239,HLOOKUP(INDIRECT(ADDRESS(2,COLUMN())),OFFSET($BN$2,0,0,ROW()-1,60),ROW()-1,FALSE))</f>
        <v>118.134</v>
      </c>
      <c r="AA37">
        <f ca="1">IF(AND(ISNUMBER($AA$239),$B$185=1),$AA$239,HLOOKUP(INDIRECT(ADDRESS(2,COLUMN())),OFFSET($BN$2,0,0,ROW()-1,60),ROW()-1,FALSE))</f>
        <v>137.00399999999999</v>
      </c>
      <c r="AB37">
        <f ca="1">IF(AND(ISNUMBER($AB$239),$B$185=1),$AB$239,HLOOKUP(INDIRECT(ADDRESS(2,COLUMN())),OFFSET($BN$2,0,0,ROW()-1,60),ROW()-1,FALSE))</f>
        <v>107.321</v>
      </c>
      <c r="AC37">
        <f ca="1">IF(AND(ISNUMBER($AC$239),$B$185=1),$AC$239,HLOOKUP(INDIRECT(ADDRESS(2,COLUMN())),OFFSET($BN$2,0,0,ROW()-1,60),ROW()-1,FALSE))</f>
        <v>95.311000000000007</v>
      </c>
      <c r="AD37">
        <f ca="1">IF(AND(ISNUMBER($AD$239),$B$185=1),$AD$239,HLOOKUP(INDIRECT(ADDRESS(2,COLUMN())),OFFSET($BN$2,0,0,ROW()-1,60),ROW()-1,FALSE))</f>
        <v>92.228999999999999</v>
      </c>
      <c r="AE37">
        <f ca="1">IF(AND(ISNUMBER($AE$239),$B$185=1),$AE$239,HLOOKUP(INDIRECT(ADDRESS(2,COLUMN())),OFFSET($BN$2,0,0,ROW()-1,60),ROW()-1,FALSE))</f>
        <v>88.408000000000001</v>
      </c>
      <c r="AF37">
        <f ca="1">IF(AND(ISNUMBER($AF$239),$B$185=1),$AF$239,HLOOKUP(INDIRECT(ADDRESS(2,COLUMN())),OFFSET($BN$2,0,0,ROW()-1,60),ROW()-1,FALSE))</f>
        <v>92.498999999999995</v>
      </c>
      <c r="AG37">
        <f ca="1">IF(AND(ISNUMBER($AG$239),$B$185=1),$AG$239,HLOOKUP(INDIRECT(ADDRESS(2,COLUMN())),OFFSET($BN$2,0,0,ROW()-1,60),ROW()-1,FALSE))</f>
        <v>87.305999999999997</v>
      </c>
      <c r="AH37">
        <f ca="1">IF(AND(ISNUMBER($AH$239),$B$185=1),$AH$239,HLOOKUP(INDIRECT(ADDRESS(2,COLUMN())),OFFSET($BN$2,0,0,ROW()-1,60),ROW()-1,FALSE))</f>
        <v>96.234999999999999</v>
      </c>
      <c r="AI37">
        <f ca="1">IF(AND(ISNUMBER($AI$239),$B$185=1),$AI$239,HLOOKUP(INDIRECT(ADDRESS(2,COLUMN())),OFFSET($BN$2,0,0,ROW()-1,60),ROW()-1,FALSE))</f>
        <v>96.736999999999995</v>
      </c>
      <c r="AJ37">
        <f ca="1">IF(AND(ISNUMBER($AJ$239),$B$185=1),$AJ$239,HLOOKUP(INDIRECT(ADDRESS(2,COLUMN())),OFFSET($BN$2,0,0,ROW()-1,60),ROW()-1,FALSE))</f>
        <v>86.162999999999997</v>
      </c>
      <c r="AK37">
        <f ca="1">IF(AND(ISNUMBER($AK$239),$B$185=1),$AK$239,HLOOKUP(INDIRECT(ADDRESS(2,COLUMN())),OFFSET($BN$2,0,0,ROW()-1,60),ROW()-1,FALSE))</f>
        <v>84.691999999999993</v>
      </c>
      <c r="AL37">
        <f ca="1">IF(AND(ISNUMBER($AL$239),$B$185=1),$AL$239,HLOOKUP(INDIRECT(ADDRESS(2,COLUMN())),OFFSET($BN$2,0,0,ROW()-1,60),ROW()-1,FALSE))</f>
        <v>98.504000000000005</v>
      </c>
      <c r="AM37">
        <f ca="1">IF(AND(ISNUMBER($AM$239),$B$185=1),$AM$239,HLOOKUP(INDIRECT(ADDRESS(2,COLUMN())),OFFSET($BN$2,0,0,ROW()-1,60),ROW()-1,FALSE))</f>
        <v>103.747</v>
      </c>
      <c r="AN37">
        <f ca="1">IF(AND(ISNUMBER($AN$239),$B$185=1),$AN$239,HLOOKUP(INDIRECT(ADDRESS(2,COLUMN())),OFFSET($BN$2,0,0,ROW()-1,60),ROW()-1,FALSE))</f>
        <v>89.382999999999996</v>
      </c>
      <c r="AO37">
        <f ca="1">IF(AND(ISNUMBER($AO$239),$B$185=1),$AO$239,HLOOKUP(INDIRECT(ADDRESS(2,COLUMN())),OFFSET($BN$2,0,0,ROW()-1,60),ROW()-1,FALSE))</f>
        <v>82.063000000000002</v>
      </c>
      <c r="AP37">
        <f ca="1">IF(AND(ISNUMBER($AP$239),$B$185=1),$AP$239,HLOOKUP(INDIRECT(ADDRESS(2,COLUMN())),OFFSET($BN$2,0,0,ROW()-1,60),ROW()-1,FALSE))</f>
        <v>87.5</v>
      </c>
      <c r="AQ37">
        <f ca="1">IF(AND(ISNUMBER($AQ$239),$B$185=1),$AQ$239,HLOOKUP(INDIRECT(ADDRESS(2,COLUMN())),OFFSET($BN$2,0,0,ROW()-1,60),ROW()-1,FALSE))</f>
        <v>84.034999999999997</v>
      </c>
      <c r="AR37">
        <f ca="1">IF(AND(ISNUMBER($AR$239),$B$185=1),$AR$239,HLOOKUP(INDIRECT(ADDRESS(2,COLUMN())),OFFSET($BN$2,0,0,ROW()-1,60),ROW()-1,FALSE))</f>
        <v>102.602</v>
      </c>
      <c r="AS37">
        <f ca="1">IF(AND(ISNUMBER($AS$239),$B$185=1),$AS$239,HLOOKUP(INDIRECT(ADDRESS(2,COLUMN())),OFFSET($BN$2,0,0,ROW()-1,60),ROW()-1,FALSE))</f>
        <v>101.601</v>
      </c>
      <c r="AT37">
        <f ca="1">IF(AND(ISNUMBER($AT$239),$B$185=1),$AT$239,HLOOKUP(INDIRECT(ADDRESS(2,COLUMN())),OFFSET($BN$2,0,0,ROW()-1,60),ROW()-1,FALSE))</f>
        <v>93.674999999999997</v>
      </c>
      <c r="AU37">
        <f ca="1">IF(AND(ISNUMBER($AU$239),$B$185=1),$AU$239,HLOOKUP(INDIRECT(ADDRESS(2,COLUMN())),OFFSET($BN$2,0,0,ROW()-1,60),ROW()-1,FALSE))</f>
        <v>93.531999999999996</v>
      </c>
      <c r="AV37">
        <f ca="1">IF(AND(ISNUMBER($AV$239),$B$185=1),$AV$239,HLOOKUP(INDIRECT(ADDRESS(2,COLUMN())),OFFSET($BN$2,0,0,ROW()-1,60),ROW()-1,FALSE))</f>
        <v>95.656000000000006</v>
      </c>
      <c r="AW37">
        <f ca="1">IF(AND(ISNUMBER($AW$239),$B$185=1),$AW$239,HLOOKUP(INDIRECT(ADDRESS(2,COLUMN())),OFFSET($BN$2,0,0,ROW()-1,60),ROW()-1,FALSE))</f>
        <v>80.049000000000007</v>
      </c>
      <c r="AX37">
        <f ca="1">IF(AND(ISNUMBER($AX$239),$B$185=1),$AX$239,HLOOKUP(INDIRECT(ADDRESS(2,COLUMN())),OFFSET($BN$2,0,0,ROW()-1,60),ROW()-1,FALSE))</f>
        <v>82.168999999999997</v>
      </c>
      <c r="AY37">
        <f ca="1">IF(AND(ISNUMBER($AY$239),$B$185=1),$AY$239,HLOOKUP(INDIRECT(ADDRESS(2,COLUMN())),OFFSET($BN$2,0,0,ROW()-1,60),ROW()-1,FALSE))</f>
        <v>64.730999999999995</v>
      </c>
      <c r="AZ37">
        <f ca="1">IF(AND(ISNUMBER($AZ$239),$B$185=1),$AZ$239,HLOOKUP(INDIRECT(ADDRESS(2,COLUMN())),OFFSET($BN$2,0,0,ROW()-1,60),ROW()-1,FALSE))</f>
        <v>91.262</v>
      </c>
      <c r="BA37">
        <f ca="1">IF(AND(ISNUMBER($BA$239),$B$185=1),$BA$239,HLOOKUP(INDIRECT(ADDRESS(2,COLUMN())),OFFSET($BN$2,0,0,ROW()-1,60),ROW()-1,FALSE))</f>
        <v>93.102999999999994</v>
      </c>
      <c r="BB37">
        <f ca="1">IF(AND(ISNUMBER($BB$239),$B$185=1),$BB$239,HLOOKUP(INDIRECT(ADDRESS(2,COLUMN())),OFFSET($BN$2,0,0,ROW()-1,60),ROW()-1,FALSE))</f>
        <v>116.54600000000001</v>
      </c>
      <c r="BC37">
        <f ca="1">IF(AND(ISNUMBER($BC$239),$B$185=1),$BC$239,HLOOKUP(INDIRECT(ADDRESS(2,COLUMN())),OFFSET($BN$2,0,0,ROW()-1,60),ROW()-1,FALSE))</f>
        <v>106.812</v>
      </c>
      <c r="BD37">
        <f ca="1">IF(AND(ISNUMBER($BD$239),$B$185=1),$BD$239,HLOOKUP(INDIRECT(ADDRESS(2,COLUMN())),OFFSET($BN$2,0,0,ROW()-1,60),ROW()-1,FALSE))</f>
        <v>69.513999999999996</v>
      </c>
      <c r="BE37">
        <f ca="1">IF(AND(ISNUMBER($BE$239),$B$185=1),$BE$239,HLOOKUP(INDIRECT(ADDRESS(2,COLUMN())),OFFSET($BN$2,0,0,ROW()-1,60),ROW()-1,FALSE))</f>
        <v>56.192</v>
      </c>
      <c r="BF37">
        <f ca="1">IF(AND(ISNUMBER($BF$239),$B$185=1),$BF$239,HLOOKUP(INDIRECT(ADDRESS(2,COLUMN())),OFFSET($BN$2,0,0,ROW()-1,60),ROW()-1,FALSE))</f>
        <v>40.573</v>
      </c>
      <c r="BG37">
        <f ca="1">IF(AND(ISNUMBER($BG$239),$B$185=1),$BG$239,HLOOKUP(INDIRECT(ADDRESS(2,COLUMN())),OFFSET($BN$2,0,0,ROW()-1,60),ROW()-1,FALSE))</f>
        <v>38.140999999999998</v>
      </c>
      <c r="BH37">
        <f ca="1">IF(AND(ISNUMBER($BH$239),$B$185=1),$BH$239,HLOOKUP(INDIRECT(ADDRESS(2,COLUMN())),OFFSET($BN$2,0,0,ROW()-1,60),ROW()-1,FALSE))</f>
        <v>42.151000000000003</v>
      </c>
      <c r="BI37">
        <f ca="1">IF(AND(ISNUMBER($BI$239),$B$185=1),$BI$239,HLOOKUP(INDIRECT(ADDRESS(2,COLUMN())),OFFSET($BN$2,0,0,ROW()-1,60),ROW()-1,FALSE))</f>
        <v>45.155999999999999</v>
      </c>
      <c r="BJ37">
        <f ca="1">IF(AND(ISNUMBER($BJ$239),$B$185=1),$BJ$239,HLOOKUP(INDIRECT(ADDRESS(2,COLUMN())),OFFSET($BN$2,0,0,ROW()-1,60),ROW()-1,FALSE))</f>
        <v>35.012999999999998</v>
      </c>
      <c r="BK37">
        <f ca="1">IF(AND(ISNUMBER($BK$239),$B$185=1),$BK$239,HLOOKUP(INDIRECT(ADDRESS(2,COLUMN())),OFFSET($BN$2,0,0,ROW()-1,60),ROW()-1,FALSE))</f>
        <v>61.052</v>
      </c>
      <c r="BL37">
        <f ca="1">IF(AND(ISNUMBER($BL$239),$B$185=1),$BL$239,HLOOKUP(INDIRECT(ADDRESS(2,COLUMN())),OFFSET($BN$2,0,0,ROW()-1,60),ROW()-1,FALSE))</f>
        <v>47.084000000000003</v>
      </c>
      <c r="BM37" t="str">
        <f ca="1">IF(AND(ISNUMBER($BM$239),$B$185=1),$BM$239,HLOOKUP(INDIRECT(ADDRESS(2,COLUMN())),OFFSET($BN$2,0,0,ROW()-1,60),ROW()-1,FALSE))</f>
        <v/>
      </c>
      <c r="BN37">
        <f>117</f>
        <v>117</v>
      </c>
      <c r="BO37">
        <f>109</f>
        <v>109</v>
      </c>
      <c r="BP37">
        <f>106</f>
        <v>106</v>
      </c>
      <c r="BQ37">
        <f>104</f>
        <v>104</v>
      </c>
      <c r="BR37">
        <f>112</f>
        <v>112</v>
      </c>
      <c r="BS37">
        <f>104.478</f>
        <v>104.47799999999999</v>
      </c>
      <c r="BT37">
        <f>107.112</f>
        <v>107.11199999999999</v>
      </c>
      <c r="BU37">
        <f>84.985</f>
        <v>84.984999999999999</v>
      </c>
      <c r="BV37">
        <f>81.521</f>
        <v>81.521000000000001</v>
      </c>
      <c r="BW37">
        <f>83.041</f>
        <v>83.040999999999997</v>
      </c>
      <c r="BX37">
        <f>82.926</f>
        <v>82.926000000000002</v>
      </c>
      <c r="BY37">
        <f>109.148</f>
        <v>109.148</v>
      </c>
      <c r="BZ37">
        <f>139.267</f>
        <v>139.267</v>
      </c>
      <c r="CA37">
        <f>159.995</f>
        <v>159.995</v>
      </c>
      <c r="CB37">
        <f>133.313</f>
        <v>133.31299999999999</v>
      </c>
      <c r="CC37">
        <f>138.754</f>
        <v>138.75399999999999</v>
      </c>
      <c r="CD37">
        <f>140.441</f>
        <v>140.441</v>
      </c>
      <c r="CE37">
        <f>153.267</f>
        <v>153.267</v>
      </c>
      <c r="CF37">
        <f>145.024</f>
        <v>145.024</v>
      </c>
      <c r="CG37">
        <f>127.909</f>
        <v>127.90900000000001</v>
      </c>
      <c r="CH37">
        <f>118.134</f>
        <v>118.134</v>
      </c>
      <c r="CI37">
        <f>137.004</f>
        <v>137.00399999999999</v>
      </c>
      <c r="CJ37">
        <f>107.321</f>
        <v>107.321</v>
      </c>
      <c r="CK37">
        <f>95.311</f>
        <v>95.311000000000007</v>
      </c>
      <c r="CL37">
        <f>92.229</f>
        <v>92.228999999999999</v>
      </c>
      <c r="CM37">
        <f>88.408</f>
        <v>88.408000000000001</v>
      </c>
      <c r="CN37">
        <f>92.499</f>
        <v>92.498999999999995</v>
      </c>
      <c r="CO37">
        <f>87.306</f>
        <v>87.305999999999997</v>
      </c>
      <c r="CP37">
        <f>96.235</f>
        <v>96.234999999999999</v>
      </c>
      <c r="CQ37">
        <f>96.737</f>
        <v>96.736999999999995</v>
      </c>
      <c r="CR37">
        <f>86.163</f>
        <v>86.162999999999997</v>
      </c>
      <c r="CS37">
        <f>84.692</f>
        <v>84.691999999999993</v>
      </c>
      <c r="CT37">
        <f>98.504</f>
        <v>98.504000000000005</v>
      </c>
      <c r="CU37">
        <f>103.747</f>
        <v>103.747</v>
      </c>
      <c r="CV37">
        <f>89.383</f>
        <v>89.382999999999996</v>
      </c>
      <c r="CW37">
        <f>82.063</f>
        <v>82.063000000000002</v>
      </c>
      <c r="CX37">
        <f>87.5</f>
        <v>87.5</v>
      </c>
      <c r="CY37">
        <f>84.035</f>
        <v>84.034999999999997</v>
      </c>
      <c r="CZ37">
        <f>102.602</f>
        <v>102.602</v>
      </c>
      <c r="DA37">
        <f>101.601</f>
        <v>101.601</v>
      </c>
      <c r="DB37">
        <f>93.675</f>
        <v>93.674999999999997</v>
      </c>
      <c r="DC37">
        <f>93.532</f>
        <v>93.531999999999996</v>
      </c>
      <c r="DD37">
        <f>95.656</f>
        <v>95.656000000000006</v>
      </c>
      <c r="DE37">
        <f>80.049</f>
        <v>80.049000000000007</v>
      </c>
      <c r="DF37">
        <f>82.169</f>
        <v>82.168999999999997</v>
      </c>
      <c r="DG37">
        <f>64.731</f>
        <v>64.730999999999995</v>
      </c>
      <c r="DH37">
        <f>91.262</f>
        <v>91.262</v>
      </c>
      <c r="DI37">
        <f>93.103</f>
        <v>93.102999999999994</v>
      </c>
      <c r="DJ37">
        <f>116.546</f>
        <v>116.54600000000001</v>
      </c>
      <c r="DK37">
        <f>106.812</f>
        <v>106.812</v>
      </c>
      <c r="DL37">
        <f>69.514</f>
        <v>69.513999999999996</v>
      </c>
      <c r="DM37">
        <f>56.192</f>
        <v>56.192</v>
      </c>
      <c r="DN37">
        <f>40.573</f>
        <v>40.573</v>
      </c>
      <c r="DO37">
        <f>38.141</f>
        <v>38.140999999999998</v>
      </c>
      <c r="DP37">
        <f>42.151</f>
        <v>42.151000000000003</v>
      </c>
      <c r="DQ37">
        <f>45.156</f>
        <v>45.155999999999999</v>
      </c>
      <c r="DR37">
        <f>35.013</f>
        <v>35.012999999999998</v>
      </c>
      <c r="DS37">
        <f>61.052</f>
        <v>61.052</v>
      </c>
      <c r="DT37">
        <f>47.084</f>
        <v>47.084000000000003</v>
      </c>
      <c r="DU37" t="str">
        <f>""</f>
        <v/>
      </c>
    </row>
    <row r="38" spans="1:125">
      <c r="A38" t="str">
        <f>"    PNC Financial Services Group I"</f>
        <v xml:space="preserve">    PNC Financial Services Group I</v>
      </c>
      <c r="B38" t="str">
        <f>"PNC US Equity"</f>
        <v>PNC US Equity</v>
      </c>
      <c r="C38" t="str">
        <f t="shared" si="1"/>
        <v>A0621</v>
      </c>
      <c r="D38" t="str">
        <f t="shared" si="2"/>
        <v>ARD_MORTGAGE_BANKING_REVENUE</v>
      </c>
      <c r="E38" t="str">
        <f t="shared" si="3"/>
        <v>Dynamic</v>
      </c>
      <c r="F38">
        <f ca="1">IF(AND(ISNUMBER($F$240),$B$185=1),$F$240,HLOOKUP(INDIRECT(ADDRESS(2,COLUMN())),OFFSET($BN$2,0,0,ROW()-1,60),ROW()-1,FALSE))</f>
        <v>122</v>
      </c>
      <c r="G38">
        <f ca="1">IF(AND(ISNUMBER($G$240),$B$185=1),$G$240,HLOOKUP(INDIRECT(ADDRESS(2,COLUMN())),OFFSET($BN$2,0,0,ROW()-1,60),ROW()-1,FALSE))</f>
        <v>181</v>
      </c>
      <c r="H38">
        <f ca="1">IF(AND(ISNUMBER($H$240),$B$185=1),$H$240,HLOOKUP(INDIRECT(ADDRESS(2,COLUMN())),OFFSET($BN$2,0,0,ROW()-1,60),ROW()-1,FALSE))</f>
        <v>131</v>
      </c>
      <c r="I38">
        <f ca="1">IF(AND(ISNUMBER($I$240),$B$185=1),$I$240,HLOOKUP(INDIRECT(ADDRESS(2,COLUMN())),OFFSET($BN$2,0,0,ROW()-1,60),ROW()-1,FALSE))</f>
        <v>147</v>
      </c>
      <c r="J38">
        <f ca="1">IF(AND(ISNUMBER($J$240),$B$185=1),$J$240,HLOOKUP(INDIRECT(ADDRESS(2,COLUMN())),OFFSET($BN$2,0,0,ROW()-1,60),ROW()-1,FALSE))</f>
        <v>149</v>
      </c>
      <c r="K38">
        <f ca="1">IF(AND(ISNUMBER($K$240),$B$185=1),$K$240,HLOOKUP(INDIRECT(ADDRESS(2,COLUMN())),OFFSET($BN$2,0,0,ROW()-1,60),ROW()-1,FALSE))</f>
        <v>201</v>
      </c>
      <c r="L38">
        <f ca="1">IF(AND(ISNUMBER($L$240),$B$185=1),$L$240,HLOOKUP(INDIRECT(ADDRESS(2,COLUMN())),OFFSET($BN$2,0,0,ROW()-1,60),ROW()-1,FALSE))</f>
        <v>98</v>
      </c>
      <c r="M38">
        <f ca="1">IF(AND(ISNUMBER($M$240),$B$185=1),$M$240,HLOOKUP(INDIRECT(ADDRESS(2,COLUMN())),OFFSET($BN$2,0,0,ROW()-1,60),ROW()-1,FALSE))</f>
        <v>177</v>
      </c>
      <c r="N38">
        <f ca="1">IF(AND(ISNUMBER($N$240),$B$185=1),$N$240,HLOOKUP(INDIRECT(ADDRESS(2,COLUMN())),OFFSET($BN$2,0,0,ROW()-1,60),ROW()-1,FALSE))</f>
        <v>184</v>
      </c>
      <c r="O38">
        <f ca="1">IF(AND(ISNUMBER($O$240),$B$185=1),$O$240,HLOOKUP(INDIRECT(ADDRESS(2,COLUMN())),OFFSET($BN$2,0,0,ROW()-1,60),ROW()-1,FALSE))</f>
        <v>143</v>
      </c>
      <c r="P38">
        <f ca="1">IF(AND(ISNUMBER($P$240),$B$185=1),$P$240,HLOOKUP(INDIRECT(ADDRESS(2,COLUMN())),OFFSET($BN$2,0,0,ROW()-1,60),ROW()-1,FALSE))</f>
        <v>161</v>
      </c>
      <c r="Q38">
        <f ca="1">IF(AND(ISNUMBER($Q$240),$B$185=1),$Q$240,HLOOKUP(INDIRECT(ADDRESS(2,COLUMN())),OFFSET($BN$2,0,0,ROW()-1,60),ROW()-1,FALSE))</f>
        <v>159</v>
      </c>
      <c r="R38">
        <f ca="1">IF(AND(ISNUMBER($R$240),$B$185=1),$R$240,HLOOKUP(INDIRECT(ADDRESS(2,COLUMN())),OFFSET($BN$2,0,0,ROW()-1,60),ROW()-1,FALSE))</f>
        <v>209</v>
      </c>
      <c r="S38">
        <f ca="1">IF(AND(ISNUMBER($S$240),$B$185=1),$S$240,HLOOKUP(INDIRECT(ADDRESS(2,COLUMN())),OFFSET($BN$2,0,0,ROW()-1,60),ROW()-1,FALSE))</f>
        <v>248</v>
      </c>
      <c r="T38">
        <f ca="1">IF(AND(ISNUMBER($T$240),$B$185=1),$T$240,HLOOKUP(INDIRECT(ADDRESS(2,COLUMN())),OFFSET($BN$2,0,0,ROW()-1,60),ROW()-1,FALSE))</f>
        <v>206</v>
      </c>
      <c r="U38">
        <f ca="1">IF(AND(ISNUMBER($U$240),$B$185=1),$U$240,HLOOKUP(INDIRECT(ADDRESS(2,COLUMN())),OFFSET($BN$2,0,0,ROW()-1,60),ROW()-1,FALSE))</f>
        <v>187</v>
      </c>
      <c r="V38">
        <f ca="1">IF(AND(ISNUMBER($V$240),$B$185=1),$V$240,HLOOKUP(INDIRECT(ADDRESS(2,COLUMN())),OFFSET($BN$2,0,0,ROW()-1,60),ROW()-1,FALSE))</f>
        <v>99</v>
      </c>
      <c r="W38">
        <f ca="1">IF(AND(ISNUMBER($W$240),$B$185=1),$W$240,HLOOKUP(INDIRECT(ADDRESS(2,COLUMN())),OFFSET($BN$2,0,0,ROW()-1,60),ROW()-1,FALSE))</f>
        <v>137</v>
      </c>
      <c r="X38">
        <f ca="1">IF(AND(ISNUMBER($X$240),$B$185=1),$X$240,HLOOKUP(INDIRECT(ADDRESS(2,COLUMN())),OFFSET($BN$2,0,0,ROW()-1,60),ROW()-1,FALSE))</f>
        <v>158</v>
      </c>
      <c r="Y38">
        <f ca="1">IF(AND(ISNUMBER($Y$240),$B$185=1),$Y$240,HLOOKUP(INDIRECT(ADDRESS(2,COLUMN())),OFFSET($BN$2,0,0,ROW()-1,60),ROW()-1,FALSE))</f>
        <v>210</v>
      </c>
      <c r="Z38">
        <f ca="1">IF(AND(ISNUMBER($Z$240),$B$185=1),$Z$240,HLOOKUP(INDIRECT(ADDRESS(2,COLUMN())),OFFSET($BN$2,0,0,ROW()-1,60),ROW()-1,FALSE))</f>
        <v>87</v>
      </c>
      <c r="AA38">
        <f ca="1">IF(AND(ISNUMBER($AA$240),$B$185=1),$AA$240,HLOOKUP(INDIRECT(ADDRESS(2,COLUMN())),OFFSET($BN$2,0,0,ROW()-1,60),ROW()-1,FALSE))</f>
        <v>134</v>
      </c>
      <c r="AB38">
        <f ca="1">IF(AND(ISNUMBER($AB$240),$B$185=1),$AB$240,HLOOKUP(INDIRECT(ADDRESS(2,COLUMN())),OFFSET($BN$2,0,0,ROW()-1,60),ROW()-1,FALSE))</f>
        <v>82</v>
      </c>
      <c r="AC38">
        <f ca="1">IF(AND(ISNUMBER($AC$240),$B$185=1),$AC$240,HLOOKUP(INDIRECT(ADDRESS(2,COLUMN())),OFFSET($BN$2,0,0,ROW()-1,60),ROW()-1,FALSE))</f>
        <v>65</v>
      </c>
      <c r="AD38">
        <f ca="1">IF(AND(ISNUMBER($AD$240),$B$185=1),$AD$240,HLOOKUP(INDIRECT(ADDRESS(2,COLUMN())),OFFSET($BN$2,0,0,ROW()-1,60),ROW()-1,FALSE))</f>
        <v>59</v>
      </c>
      <c r="AE38">
        <f ca="1">IF(AND(ISNUMBER($AE$240),$B$185=1),$AE$240,HLOOKUP(INDIRECT(ADDRESS(2,COLUMN())),OFFSET($BN$2,0,0,ROW()-1,60),ROW()-1,FALSE))</f>
        <v>76</v>
      </c>
      <c r="AF38">
        <f ca="1">IF(AND(ISNUMBER($AF$240),$B$185=1),$AF$240,HLOOKUP(INDIRECT(ADDRESS(2,COLUMN())),OFFSET($BN$2,0,0,ROW()-1,60),ROW()-1,FALSE))</f>
        <v>84</v>
      </c>
      <c r="AG38">
        <f ca="1">IF(AND(ISNUMBER($AG$240),$B$185=1),$AG$240,HLOOKUP(INDIRECT(ADDRESS(2,COLUMN())),OFFSET($BN$2,0,0,ROW()-1,60),ROW()-1,FALSE))</f>
        <v>97</v>
      </c>
      <c r="AH38">
        <f ca="1">IF(AND(ISNUMBER($AH$240),$B$185=1),$AH$240,HLOOKUP(INDIRECT(ADDRESS(2,COLUMN())),OFFSET($BN$2,0,0,ROW()-1,60),ROW()-1,FALSE))</f>
        <v>29</v>
      </c>
      <c r="AI38">
        <f ca="1">IF(AND(ISNUMBER($AI$240),$B$185=1),$AI$240,HLOOKUP(INDIRECT(ADDRESS(2,COLUMN())),OFFSET($BN$2,0,0,ROW()-1,60),ROW()-1,FALSE))</f>
        <v>104</v>
      </c>
      <c r="AJ38">
        <f ca="1">IF(AND(ISNUMBER($AJ$240),$B$185=1),$AJ$240,HLOOKUP(INDIRECT(ADDRESS(2,COLUMN())),OFFSET($BN$2,0,0,ROW()-1,60),ROW()-1,FALSE))</f>
        <v>104</v>
      </c>
      <c r="AK38">
        <f ca="1">IF(AND(ISNUMBER($AK$240),$B$185=1),$AK$240,HLOOKUP(INDIRECT(ADDRESS(2,COLUMN())),OFFSET($BN$2,0,0,ROW()-1,60),ROW()-1,FALSE))</f>
        <v>113</v>
      </c>
      <c r="AL38">
        <f ca="1">IF(AND(ISNUMBER($AL$240),$B$185=1),$AL$240,HLOOKUP(INDIRECT(ADDRESS(2,COLUMN())),OFFSET($BN$2,0,0,ROW()-1,60),ROW()-1,FALSE))</f>
        <v>142</v>
      </c>
      <c r="AM38">
        <f ca="1">IF(AND(ISNUMBER($AM$240),$B$185=1),$AM$240,HLOOKUP(INDIRECT(ADDRESS(2,COLUMN())),OFFSET($BN$2,0,0,ROW()-1,60),ROW()-1,FALSE))</f>
        <v>160</v>
      </c>
      <c r="AN38">
        <f ca="1">IF(AND(ISNUMBER($AN$240),$B$185=1),$AN$240,HLOOKUP(INDIRECT(ADDRESS(2,COLUMN())),OFFSET($BN$2,0,0,ROW()-1,60),ROW()-1,FALSE))</f>
        <v>165</v>
      </c>
      <c r="AO38">
        <f ca="1">IF(AND(ISNUMBER($AO$240),$B$185=1),$AO$240,HLOOKUP(INDIRECT(ADDRESS(2,COLUMN())),OFFSET($BN$2,0,0,ROW()-1,60),ROW()-1,FALSE))</f>
        <v>100</v>
      </c>
      <c r="AP38">
        <f ca="1">IF(AND(ISNUMBER($AP$240),$B$185=1),$AP$240,HLOOKUP(INDIRECT(ADDRESS(2,COLUMN())),OFFSET($BN$2,0,0,ROW()-1,60),ROW()-1,FALSE))</f>
        <v>113</v>
      </c>
      <c r="AQ38">
        <f ca="1">IF(AND(ISNUMBER($AQ$240),$B$185=1),$AQ$240,HLOOKUP(INDIRECT(ADDRESS(2,COLUMN())),OFFSET($BN$2,0,0,ROW()-1,60),ROW()-1,FALSE))</f>
        <v>125</v>
      </c>
      <c r="AR38">
        <f ca="1">IF(AND(ISNUMBER($AR$240),$B$185=1),$AR$240,HLOOKUP(INDIRECT(ADDRESS(2,COLUMN())),OFFSET($BN$2,0,0,ROW()-1,60),ROW()-1,FALSE))</f>
        <v>164</v>
      </c>
      <c r="AS38">
        <f ca="1">IF(AND(ISNUMBER($AS$240),$B$185=1),$AS$240,HLOOKUP(INDIRECT(ADDRESS(2,COLUMN())),OFFSET($BN$2,0,0,ROW()-1,60),ROW()-1,FALSE))</f>
        <v>164</v>
      </c>
      <c r="AT38">
        <f ca="1">IF(AND(ISNUMBER($AT$240),$B$185=1),$AT$240,HLOOKUP(INDIRECT(ADDRESS(2,COLUMN())),OFFSET($BN$2,0,0,ROW()-1,60),ROW()-1,FALSE))</f>
        <v>135</v>
      </c>
      <c r="AU38">
        <f ca="1">IF(AND(ISNUMBER($AU$240),$B$185=1),$AU$240,HLOOKUP(INDIRECT(ADDRESS(2,COLUMN())),OFFSET($BN$2,0,0,ROW()-1,60),ROW()-1,FALSE))</f>
        <v>140</v>
      </c>
      <c r="AV38">
        <f ca="1">IF(AND(ISNUMBER($AV$240),$B$185=1),$AV$240,HLOOKUP(INDIRECT(ADDRESS(2,COLUMN())),OFFSET($BN$2,0,0,ROW()-1,60),ROW()-1,FALSE))</f>
        <v>182</v>
      </c>
      <c r="AW38">
        <f ca="1">IF(AND(ISNUMBER($AW$240),$B$185=1),$AW$240,HLOOKUP(INDIRECT(ADDRESS(2,COLUMN())),OFFSET($BN$2,0,0,ROW()-1,60),ROW()-1,FALSE))</f>
        <v>161</v>
      </c>
      <c r="AX38">
        <f ca="1">IF(AND(ISNUMBER($AX$240),$B$185=1),$AX$240,HLOOKUP(INDIRECT(ADDRESS(2,COLUMN())),OFFSET($BN$2,0,0,ROW()-1,60),ROW()-1,FALSE))</f>
        <v>271</v>
      </c>
      <c r="AY38">
        <f ca="1">IF(AND(ISNUMBER($AY$240),$B$185=1),$AY$240,HLOOKUP(INDIRECT(ADDRESS(2,COLUMN())),OFFSET($BN$2,0,0,ROW()-1,60),ROW()-1,FALSE))</f>
        <v>199</v>
      </c>
      <c r="AZ38">
        <f ca="1">IF(AND(ISNUMBER($AZ$240),$B$185=1),$AZ$240,HLOOKUP(INDIRECT(ADDRESS(2,COLUMN())),OFFSET($BN$2,0,0,ROW()-1,60),ROW()-1,FALSE))</f>
        <v>167</v>
      </c>
      <c r="BA38">
        <f ca="1">IF(AND(ISNUMBER($BA$240),$B$185=1),$BA$240,HLOOKUP(INDIRECT(ADDRESS(2,COLUMN())),OFFSET($BN$2,0,0,ROW()-1,60),ROW()-1,FALSE))</f>
        <v>234</v>
      </c>
      <c r="BB38">
        <f ca="1">IF(AND(ISNUMBER($BB$240),$B$185=1),$BB$240,HLOOKUP(INDIRECT(ADDRESS(2,COLUMN())),OFFSET($BN$2,0,0,ROW()-1,60),ROW()-1,FALSE))</f>
        <v>0</v>
      </c>
      <c r="BC38">
        <f ca="1">IF(AND(ISNUMBER($BC$240),$B$185=1),$BC$240,HLOOKUP(INDIRECT(ADDRESS(2,COLUMN())),OFFSET($BN$2,0,0,ROW()-1,60),ROW()-1,FALSE))</f>
        <v>227</v>
      </c>
      <c r="BD38">
        <f ca="1">IF(AND(ISNUMBER($BD$240),$B$185=1),$BD$240,HLOOKUP(INDIRECT(ADDRESS(2,COLUMN())),OFFSET($BN$2,0,0,ROW()-1,60),ROW()-1,FALSE))</f>
        <v>-173</v>
      </c>
      <c r="BE38">
        <f ca="1">IF(AND(ISNUMBER($BE$240),$B$185=1),$BE$240,HLOOKUP(INDIRECT(ADDRESS(2,COLUMN())),OFFSET($BN$2,0,0,ROW()-1,60),ROW()-1,FALSE))</f>
        <v>230</v>
      </c>
      <c r="BF38">
        <f ca="1">IF(AND(ISNUMBER($BF$240),$B$185=1),$BF$240,HLOOKUP(INDIRECT(ADDRESS(2,COLUMN())),OFFSET($BN$2,0,0,ROW()-1,60),ROW()-1,FALSE))</f>
        <v>157</v>
      </c>
      <c r="BG38">
        <f ca="1">IF(AND(ISNUMBER($BG$240),$B$185=1),$BG$240,HLOOKUP(INDIRECT(ADDRESS(2,COLUMN())),OFFSET($BN$2,0,0,ROW()-1,60),ROW()-1,FALSE))</f>
        <v>198</v>
      </c>
      <c r="BH38">
        <f ca="1">IF(AND(ISNUMBER($BH$240),$B$185=1),$BH$240,HLOOKUP(INDIRECT(ADDRESS(2,COLUMN())),OFFSET($BN$2,0,0,ROW()-1,60),ROW()-1,FALSE))</f>
        <v>163</v>
      </c>
      <c r="BI38">
        <f ca="1">IF(AND(ISNUMBER($BI$240),$B$185=1),$BI$240,HLOOKUP(INDIRECT(ADDRESS(2,COLUMN())),OFFSET($BN$2,0,0,ROW()-1,60),ROW()-1,FALSE))</f>
        <v>195</v>
      </c>
      <c r="BJ38">
        <f ca="1">IF(AND(ISNUMBER($BJ$240),$B$185=1),$BJ$240,HLOOKUP(INDIRECT(ADDRESS(2,COLUMN())),OFFSET($BN$2,0,0,ROW()-1,60),ROW()-1,FALSE))</f>
        <v>157</v>
      </c>
      <c r="BK38">
        <f ca="1">IF(AND(ISNUMBER($BK$240),$B$185=1),$BK$240,HLOOKUP(INDIRECT(ADDRESS(2,COLUMN())),OFFSET($BN$2,0,0,ROW()-1,60),ROW()-1,FALSE))</f>
        <v>216</v>
      </c>
      <c r="BL38">
        <f ca="1">IF(AND(ISNUMBER($BL$240),$B$185=1),$BL$240,HLOOKUP(INDIRECT(ADDRESS(2,COLUMN())),OFFSET($BN$2,0,0,ROW()-1,60),ROW()-1,FALSE))</f>
        <v>179</v>
      </c>
      <c r="BM38">
        <f ca="1">IF(AND(ISNUMBER($BM$240),$B$185=1),$BM$240,HLOOKUP(INDIRECT(ADDRESS(2,COLUMN())),OFFSET($BN$2,0,0,ROW()-1,60),ROW()-1,FALSE))</f>
        <v>147</v>
      </c>
      <c r="BN38">
        <f>122</f>
        <v>122</v>
      </c>
      <c r="BO38">
        <f>181</f>
        <v>181</v>
      </c>
      <c r="BP38">
        <f>131</f>
        <v>131</v>
      </c>
      <c r="BQ38">
        <f>147</f>
        <v>147</v>
      </c>
      <c r="BR38">
        <f>149</f>
        <v>149</v>
      </c>
      <c r="BS38">
        <f>201</f>
        <v>201</v>
      </c>
      <c r="BT38">
        <f>98</f>
        <v>98</v>
      </c>
      <c r="BU38">
        <f>177</f>
        <v>177</v>
      </c>
      <c r="BV38">
        <f>184</f>
        <v>184</v>
      </c>
      <c r="BW38">
        <f>143</f>
        <v>143</v>
      </c>
      <c r="BX38">
        <f>161</f>
        <v>161</v>
      </c>
      <c r="BY38">
        <f>159</f>
        <v>159</v>
      </c>
      <c r="BZ38">
        <f>209</f>
        <v>209</v>
      </c>
      <c r="CA38">
        <f>248</f>
        <v>248</v>
      </c>
      <c r="CB38">
        <f>206</f>
        <v>206</v>
      </c>
      <c r="CC38">
        <f>187</f>
        <v>187</v>
      </c>
      <c r="CD38">
        <f>99</f>
        <v>99</v>
      </c>
      <c r="CE38">
        <f>137</f>
        <v>137</v>
      </c>
      <c r="CF38">
        <f>158</f>
        <v>158</v>
      </c>
      <c r="CG38">
        <f>210</f>
        <v>210</v>
      </c>
      <c r="CH38">
        <f>87</f>
        <v>87</v>
      </c>
      <c r="CI38">
        <f>134</f>
        <v>134</v>
      </c>
      <c r="CJ38">
        <f>82</f>
        <v>82</v>
      </c>
      <c r="CK38">
        <f>65</f>
        <v>65</v>
      </c>
      <c r="CL38">
        <f>59</f>
        <v>59</v>
      </c>
      <c r="CM38">
        <f>76</f>
        <v>76</v>
      </c>
      <c r="CN38">
        <f>84</f>
        <v>84</v>
      </c>
      <c r="CO38">
        <f>97</f>
        <v>97</v>
      </c>
      <c r="CP38">
        <f>29</f>
        <v>29</v>
      </c>
      <c r="CQ38">
        <f>104</f>
        <v>104</v>
      </c>
      <c r="CR38">
        <f>104</f>
        <v>104</v>
      </c>
      <c r="CS38">
        <f>113</f>
        <v>113</v>
      </c>
      <c r="CT38">
        <f>142</f>
        <v>142</v>
      </c>
      <c r="CU38">
        <f>160</f>
        <v>160</v>
      </c>
      <c r="CV38">
        <f>165</f>
        <v>165</v>
      </c>
      <c r="CW38">
        <f>100</f>
        <v>100</v>
      </c>
      <c r="CX38">
        <f>113</f>
        <v>113</v>
      </c>
      <c r="CY38">
        <f>125</f>
        <v>125</v>
      </c>
      <c r="CZ38">
        <f>164</f>
        <v>164</v>
      </c>
      <c r="DA38">
        <f>164</f>
        <v>164</v>
      </c>
      <c r="DB38">
        <f>135</f>
        <v>135</v>
      </c>
      <c r="DC38">
        <f>140</f>
        <v>140</v>
      </c>
      <c r="DD38">
        <f>182</f>
        <v>182</v>
      </c>
      <c r="DE38">
        <f>161</f>
        <v>161</v>
      </c>
      <c r="DF38">
        <f>271</f>
        <v>271</v>
      </c>
      <c r="DG38">
        <f>199</f>
        <v>199</v>
      </c>
      <c r="DH38">
        <f>167</f>
        <v>167</v>
      </c>
      <c r="DI38">
        <f>234</f>
        <v>234</v>
      </c>
      <c r="DJ38">
        <f>0</f>
        <v>0</v>
      </c>
      <c r="DK38">
        <f>227</f>
        <v>227</v>
      </c>
      <c r="DL38">
        <f>-173</f>
        <v>-173</v>
      </c>
      <c r="DM38">
        <f>230</f>
        <v>230</v>
      </c>
      <c r="DN38">
        <f>157</f>
        <v>157</v>
      </c>
      <c r="DO38">
        <f>198</f>
        <v>198</v>
      </c>
      <c r="DP38">
        <f>163</f>
        <v>163</v>
      </c>
      <c r="DQ38">
        <f>195</f>
        <v>195</v>
      </c>
      <c r="DR38">
        <f>157</f>
        <v>157</v>
      </c>
      <c r="DS38">
        <f>216</f>
        <v>216</v>
      </c>
      <c r="DT38">
        <f>179</f>
        <v>179</v>
      </c>
      <c r="DU38">
        <f>147</f>
        <v>147</v>
      </c>
    </row>
    <row r="39" spans="1:125">
      <c r="A39" t="str">
        <f>"    Regions Financial Corp"</f>
        <v xml:space="preserve">    Regions Financial Corp</v>
      </c>
      <c r="B39" t="str">
        <f>"RF US Equity"</f>
        <v>RF US Equity</v>
      </c>
      <c r="C39" t="str">
        <f t="shared" si="1"/>
        <v>A0621</v>
      </c>
      <c r="D39" t="str">
        <f t="shared" si="2"/>
        <v>ARD_MORTGAGE_BANKING_REVENUE</v>
      </c>
      <c r="E39" t="str">
        <f t="shared" si="3"/>
        <v>Dynamic</v>
      </c>
      <c r="F39">
        <f ca="1">IF(AND(ISNUMBER($F$241),$B$185=1),$F$241,HLOOKUP(INDIRECT(ADDRESS(2,COLUMN())),OFFSET($BN$2,0,0,ROW()-1,60),ROW()-1,FALSE))</f>
        <v>35</v>
      </c>
      <c r="G39">
        <f ca="1">IF(AND(ISNUMBER($G$241),$B$185=1),$G$241,HLOOKUP(INDIRECT(ADDRESS(2,COLUMN())),OFFSET($BN$2,0,0,ROW()-1,60),ROW()-1,FALSE))</f>
        <v>36</v>
      </c>
      <c r="H39">
        <f ca="1">IF(AND(ISNUMBER($H$241),$B$185=1),$H$241,HLOOKUP(INDIRECT(ADDRESS(2,COLUMN())),OFFSET($BN$2,0,0,ROW()-1,60),ROW()-1,FALSE))</f>
        <v>34</v>
      </c>
      <c r="I39">
        <f ca="1">IF(AND(ISNUMBER($I$241),$B$185=1),$I$241,HLOOKUP(INDIRECT(ADDRESS(2,COLUMN())),OFFSET($BN$2,0,0,ROW()-1,60),ROW()-1,FALSE))</f>
        <v>41</v>
      </c>
      <c r="J39">
        <f ca="1">IF(AND(ISNUMBER($J$241),$B$185=1),$J$241,HLOOKUP(INDIRECT(ADDRESS(2,COLUMN())),OFFSET($BN$2,0,0,ROW()-1,60),ROW()-1,FALSE))</f>
        <v>31</v>
      </c>
      <c r="K39">
        <f ca="1">IF(AND(ISNUMBER($K$241),$B$185=1),$K$241,HLOOKUP(INDIRECT(ADDRESS(2,COLUMN())),OFFSET($BN$2,0,0,ROW()-1,60),ROW()-1,FALSE))</f>
        <v>28</v>
      </c>
      <c r="L39">
        <f ca="1">IF(AND(ISNUMBER($L$241),$B$185=1),$L$241,HLOOKUP(INDIRECT(ADDRESS(2,COLUMN())),OFFSET($BN$2,0,0,ROW()-1,60),ROW()-1,FALSE))</f>
        <v>26</v>
      </c>
      <c r="M39">
        <f ca="1">IF(AND(ISNUMBER($M$241),$B$185=1),$M$241,HLOOKUP(INDIRECT(ADDRESS(2,COLUMN())),OFFSET($BN$2,0,0,ROW()-1,60),ROW()-1,FALSE))</f>
        <v>24</v>
      </c>
      <c r="N39">
        <f ca="1">IF(AND(ISNUMBER($N$241),$B$185=1),$N$241,HLOOKUP(INDIRECT(ADDRESS(2,COLUMN())),OFFSET($BN$2,0,0,ROW()-1,60),ROW()-1,FALSE))</f>
        <v>24</v>
      </c>
      <c r="O39">
        <f ca="1">IF(AND(ISNUMBER($O$241),$B$185=1),$O$241,HLOOKUP(INDIRECT(ADDRESS(2,COLUMN())),OFFSET($BN$2,0,0,ROW()-1,60),ROW()-1,FALSE))</f>
        <v>37</v>
      </c>
      <c r="P39">
        <f ca="1">IF(AND(ISNUMBER($P$241),$B$185=1),$P$241,HLOOKUP(INDIRECT(ADDRESS(2,COLUMN())),OFFSET($BN$2,0,0,ROW()-1,60),ROW()-1,FALSE))</f>
        <v>47</v>
      </c>
      <c r="Q39">
        <f ca="1">IF(AND(ISNUMBER($Q$241),$B$185=1),$Q$241,HLOOKUP(INDIRECT(ADDRESS(2,COLUMN())),OFFSET($BN$2,0,0,ROW()-1,60),ROW()-1,FALSE))</f>
        <v>48</v>
      </c>
      <c r="R39">
        <f ca="1">IF(AND(ISNUMBER($R$241),$B$185=1),$R$241,HLOOKUP(INDIRECT(ADDRESS(2,COLUMN())),OFFSET($BN$2,0,0,ROW()-1,60),ROW()-1,FALSE))</f>
        <v>49</v>
      </c>
      <c r="S39">
        <f ca="1">IF(AND(ISNUMBER($S$241),$B$185=1),$S$241,HLOOKUP(INDIRECT(ADDRESS(2,COLUMN())),OFFSET($BN$2,0,0,ROW()-1,60),ROW()-1,FALSE))</f>
        <v>50</v>
      </c>
      <c r="T39">
        <f ca="1">IF(AND(ISNUMBER($T$241),$B$185=1),$T$241,HLOOKUP(INDIRECT(ADDRESS(2,COLUMN())),OFFSET($BN$2,0,0,ROW()-1,60),ROW()-1,FALSE))</f>
        <v>53</v>
      </c>
      <c r="U39">
        <f ca="1">IF(AND(ISNUMBER($U$241),$B$185=1),$U$241,HLOOKUP(INDIRECT(ADDRESS(2,COLUMN())),OFFSET($BN$2,0,0,ROW()-1,60),ROW()-1,FALSE))</f>
        <v>90</v>
      </c>
      <c r="V39">
        <f ca="1">IF(AND(ISNUMBER($V$241),$B$185=1),$V$241,HLOOKUP(INDIRECT(ADDRESS(2,COLUMN())),OFFSET($BN$2,0,0,ROW()-1,60),ROW()-1,FALSE))</f>
        <v>51</v>
      </c>
      <c r="W39">
        <f ca="1">IF(AND(ISNUMBER($W$241),$B$185=1),$W$241,HLOOKUP(INDIRECT(ADDRESS(2,COLUMN())),OFFSET($BN$2,0,0,ROW()-1,60),ROW()-1,FALSE))</f>
        <v>108</v>
      </c>
      <c r="X39">
        <f ca="1">IF(AND(ISNUMBER($X$241),$B$185=1),$X$241,HLOOKUP(INDIRECT(ADDRESS(2,COLUMN())),OFFSET($BN$2,0,0,ROW()-1,60),ROW()-1,FALSE))</f>
        <v>82</v>
      </c>
      <c r="Y39">
        <f ca="1">IF(AND(ISNUMBER($Y$241),$B$185=1),$Y$241,HLOOKUP(INDIRECT(ADDRESS(2,COLUMN())),OFFSET($BN$2,0,0,ROW()-1,60),ROW()-1,FALSE))</f>
        <v>68</v>
      </c>
      <c r="Z39">
        <f ca="1">IF(AND(ISNUMBER($Z$241),$B$185=1),$Z$241,HLOOKUP(INDIRECT(ADDRESS(2,COLUMN())),OFFSET($BN$2,0,0,ROW()-1,60),ROW()-1,FALSE))</f>
        <v>49</v>
      </c>
      <c r="AA39">
        <f ca="1">IF(AND(ISNUMBER($AA$241),$B$185=1),$AA$241,HLOOKUP(INDIRECT(ADDRESS(2,COLUMN())),OFFSET($BN$2,0,0,ROW()-1,60),ROW()-1,FALSE))</f>
        <v>56</v>
      </c>
      <c r="AB39">
        <f ca="1">IF(AND(ISNUMBER($AB$241),$B$185=1),$AB$241,HLOOKUP(INDIRECT(ADDRESS(2,COLUMN())),OFFSET($BN$2,0,0,ROW()-1,60),ROW()-1,FALSE))</f>
        <v>31</v>
      </c>
      <c r="AC39">
        <f ca="1">IF(AND(ISNUMBER($AC$241),$B$185=1),$AC$241,HLOOKUP(INDIRECT(ADDRESS(2,COLUMN())),OFFSET($BN$2,0,0,ROW()-1,60),ROW()-1,FALSE))</f>
        <v>27</v>
      </c>
      <c r="AD39">
        <f ca="1">IF(AND(ISNUMBER($AD$241),$B$185=1),$AD$241,HLOOKUP(INDIRECT(ADDRESS(2,COLUMN())),OFFSET($BN$2,0,0,ROW()-1,60),ROW()-1,FALSE))</f>
        <v>30</v>
      </c>
      <c r="AE39">
        <f ca="1">IF(AND(ISNUMBER($AE$241),$B$185=1),$AE$241,HLOOKUP(INDIRECT(ADDRESS(2,COLUMN())),OFFSET($BN$2,0,0,ROW()-1,60),ROW()-1,FALSE))</f>
        <v>32</v>
      </c>
      <c r="AF39">
        <f ca="1">IF(AND(ISNUMBER($AF$241),$B$185=1),$AF$241,HLOOKUP(INDIRECT(ADDRESS(2,COLUMN())),OFFSET($BN$2,0,0,ROW()-1,60),ROW()-1,FALSE))</f>
        <v>37</v>
      </c>
      <c r="AG39">
        <f ca="1">IF(AND(ISNUMBER($AG$241),$B$185=1),$AG$241,HLOOKUP(INDIRECT(ADDRESS(2,COLUMN())),OFFSET($BN$2,0,0,ROW()-1,60),ROW()-1,FALSE))</f>
        <v>38</v>
      </c>
      <c r="AH39">
        <f ca="1">IF(AND(ISNUMBER($AH$241),$B$185=1),$AH$241,HLOOKUP(INDIRECT(ADDRESS(2,COLUMN())),OFFSET($BN$2,0,0,ROW()-1,60),ROW()-1,FALSE))</f>
        <v>36</v>
      </c>
      <c r="AI39">
        <f ca="1">IF(AND(ISNUMBER($AI$241),$B$185=1),$AI$241,HLOOKUP(INDIRECT(ADDRESS(2,COLUMN())),OFFSET($BN$2,0,0,ROW()-1,60),ROW()-1,FALSE))</f>
        <v>32</v>
      </c>
      <c r="AJ39">
        <f ca="1">IF(AND(ISNUMBER($AJ$241),$B$185=1),$AJ$241,HLOOKUP(INDIRECT(ADDRESS(2,COLUMN())),OFFSET($BN$2,0,0,ROW()-1,60),ROW()-1,FALSE))</f>
        <v>40</v>
      </c>
      <c r="AK39">
        <f ca="1">IF(AND(ISNUMBER($AK$241),$B$185=1),$AK$241,HLOOKUP(INDIRECT(ADDRESS(2,COLUMN())),OFFSET($BN$2,0,0,ROW()-1,60),ROW()-1,FALSE))</f>
        <v>41</v>
      </c>
      <c r="AL39">
        <f ca="1">IF(AND(ISNUMBER($AL$241),$B$185=1),$AL$241,HLOOKUP(INDIRECT(ADDRESS(2,COLUMN())),OFFSET($BN$2,0,0,ROW()-1,60),ROW()-1,FALSE))</f>
        <v>43</v>
      </c>
      <c r="AM39">
        <f ca="1">IF(AND(ISNUMBER($AM$241),$B$185=1),$AM$241,HLOOKUP(INDIRECT(ADDRESS(2,COLUMN())),OFFSET($BN$2,0,0,ROW()-1,60),ROW()-1,FALSE))</f>
        <v>46</v>
      </c>
      <c r="AN39">
        <f ca="1">IF(AND(ISNUMBER($AN$241),$B$185=1),$AN$241,HLOOKUP(INDIRECT(ADDRESS(2,COLUMN())),OFFSET($BN$2,0,0,ROW()-1,60),ROW()-1,FALSE))</f>
        <v>46</v>
      </c>
      <c r="AO39">
        <f ca="1">IF(AND(ISNUMBER($AO$241),$B$185=1),$AO$241,HLOOKUP(INDIRECT(ADDRESS(2,COLUMN())),OFFSET($BN$2,0,0,ROW()-1,60),ROW()-1,FALSE))</f>
        <v>38</v>
      </c>
      <c r="AP39">
        <f ca="1">IF(AND(ISNUMBER($AP$241),$B$185=1),$AP$241,HLOOKUP(INDIRECT(ADDRESS(2,COLUMN())),OFFSET($BN$2,0,0,ROW()-1,60),ROW()-1,FALSE))</f>
        <v>37</v>
      </c>
      <c r="AQ39">
        <f ca="1">IF(AND(ISNUMBER($AQ$241),$B$185=1),$AQ$241,HLOOKUP(INDIRECT(ADDRESS(2,COLUMN())),OFFSET($BN$2,0,0,ROW()-1,60),ROW()-1,FALSE))</f>
        <v>39</v>
      </c>
      <c r="AR39">
        <f ca="1">IF(AND(ISNUMBER($AR$241),$B$185=1),$AR$241,HLOOKUP(INDIRECT(ADDRESS(2,COLUMN())),OFFSET($BN$2,0,0,ROW()-1,60),ROW()-1,FALSE))</f>
        <v>46</v>
      </c>
      <c r="AS39">
        <f ca="1">IF(AND(ISNUMBER($AS$241),$B$185=1),$AS$241,HLOOKUP(INDIRECT(ADDRESS(2,COLUMN())),OFFSET($BN$2,0,0,ROW()-1,60),ROW()-1,FALSE))</f>
        <v>40</v>
      </c>
      <c r="AT39">
        <f ca="1">IF(AND(ISNUMBER($AT$241),$B$185=1),$AT$241,HLOOKUP(INDIRECT(ADDRESS(2,COLUMN())),OFFSET($BN$2,0,0,ROW()-1,60),ROW()-1,FALSE))</f>
        <v>27</v>
      </c>
      <c r="AU39">
        <f ca="1">IF(AND(ISNUMBER($AU$241),$B$185=1),$AU$241,HLOOKUP(INDIRECT(ADDRESS(2,COLUMN())),OFFSET($BN$2,0,0,ROW()-1,60),ROW()-1,FALSE))</f>
        <v>39</v>
      </c>
      <c r="AV39">
        <f ca="1">IF(AND(ISNUMBER($AV$241),$B$185=1),$AV$241,HLOOKUP(INDIRECT(ADDRESS(2,COLUMN())),OFFSET($BN$2,0,0,ROW()-1,60),ROW()-1,FALSE))</f>
        <v>43</v>
      </c>
      <c r="AW39">
        <f ca="1">IF(AND(ISNUMBER($AW$241),$B$185=1),$AW$241,HLOOKUP(INDIRECT(ADDRESS(2,COLUMN())),OFFSET($BN$2,0,0,ROW()-1,60),ROW()-1,FALSE))</f>
        <v>40</v>
      </c>
      <c r="AX39">
        <f ca="1">IF(AND(ISNUMBER($AX$241),$B$185=1),$AX$241,HLOOKUP(INDIRECT(ADDRESS(2,COLUMN())),OFFSET($BN$2,0,0,ROW()-1,60),ROW()-1,FALSE))</f>
        <v>43</v>
      </c>
      <c r="AY39">
        <f ca="1">IF(AND(ISNUMBER($AY$241),$B$185=1),$AY$241,HLOOKUP(INDIRECT(ADDRESS(2,COLUMN())),OFFSET($BN$2,0,0,ROW()-1,60),ROW()-1,FALSE))</f>
        <v>52</v>
      </c>
      <c r="AZ39">
        <f ca="1">IF(AND(ISNUMBER($AZ$241),$B$185=1),$AZ$241,HLOOKUP(INDIRECT(ADDRESS(2,COLUMN())),OFFSET($BN$2,0,0,ROW()-1,60),ROW()-1,FALSE))</f>
        <v>69</v>
      </c>
      <c r="BA39">
        <f ca="1">IF(AND(ISNUMBER($BA$241),$B$185=1),$BA$241,HLOOKUP(INDIRECT(ADDRESS(2,COLUMN())),OFFSET($BN$2,0,0,ROW()-1,60),ROW()-1,FALSE))</f>
        <v>72</v>
      </c>
      <c r="BB39">
        <f ca="1">IF(AND(ISNUMBER($BB$241),$B$185=1),$BB$241,HLOOKUP(INDIRECT(ADDRESS(2,COLUMN())),OFFSET($BN$2,0,0,ROW()-1,60),ROW()-1,FALSE))</f>
        <v>90</v>
      </c>
      <c r="BC39">
        <f ca="1">IF(AND(ISNUMBER($BC$241),$B$185=1),$BC$241,HLOOKUP(INDIRECT(ADDRESS(2,COLUMN())),OFFSET($BN$2,0,0,ROW()-1,60),ROW()-1,FALSE))</f>
        <v>106</v>
      </c>
      <c r="BD39">
        <f ca="1">IF(AND(ISNUMBER($BD$241),$B$185=1),$BD$241,HLOOKUP(INDIRECT(ADDRESS(2,COLUMN())),OFFSET($BN$2,0,0,ROW()-1,60),ROW()-1,FALSE))</f>
        <v>90</v>
      </c>
      <c r="BE39">
        <f ca="1">IF(AND(ISNUMBER($BE$241),$B$185=1),$BE$241,HLOOKUP(INDIRECT(ADDRESS(2,COLUMN())),OFFSET($BN$2,0,0,ROW()-1,60),ROW()-1,FALSE))</f>
        <v>77</v>
      </c>
      <c r="BF39">
        <f ca="1">IF(AND(ISNUMBER($BF$241),$B$185=1),$BF$241,HLOOKUP(INDIRECT(ADDRESS(2,COLUMN())),OFFSET($BN$2,0,0,ROW()-1,60),ROW()-1,FALSE))</f>
        <v>57</v>
      </c>
      <c r="BG39">
        <f ca="1">IF(AND(ISNUMBER($BG$241),$B$185=1),$BG$241,HLOOKUP(INDIRECT(ADDRESS(2,COLUMN())),OFFSET($BN$2,0,0,ROW()-1,60),ROW()-1,FALSE))</f>
        <v>68</v>
      </c>
      <c r="BH39">
        <f ca="1">IF(AND(ISNUMBER($BH$241),$B$185=1),$BH$241,HLOOKUP(INDIRECT(ADDRESS(2,COLUMN())),OFFSET($BN$2,0,0,ROW()-1,60),ROW()-1,FALSE))</f>
        <v>50</v>
      </c>
      <c r="BI39">
        <f ca="1">IF(AND(ISNUMBER($BI$241),$B$185=1),$BI$241,HLOOKUP(INDIRECT(ADDRESS(2,COLUMN())),OFFSET($BN$2,0,0,ROW()-1,60),ROW()-1,FALSE))</f>
        <v>45</v>
      </c>
      <c r="BJ39">
        <f ca="1">IF(AND(ISNUMBER($BJ$241),$B$185=1),$BJ$241,HLOOKUP(INDIRECT(ADDRESS(2,COLUMN())),OFFSET($BN$2,0,0,ROW()-1,60),ROW()-1,FALSE))</f>
        <v>51</v>
      </c>
      <c r="BK39">
        <f ca="1">IF(AND(ISNUMBER($BK$241),$B$185=1),$BK$241,HLOOKUP(INDIRECT(ADDRESS(2,COLUMN())),OFFSET($BN$2,0,0,ROW()-1,60),ROW()-1,FALSE))</f>
        <v>66</v>
      </c>
      <c r="BL39">
        <f ca="1">IF(AND(ISNUMBER($BL$241),$B$185=1),$BL$241,HLOOKUP(INDIRECT(ADDRESS(2,COLUMN())),OFFSET($BN$2,0,0,ROW()-1,60),ROW()-1,FALSE))</f>
        <v>63</v>
      </c>
      <c r="BM39">
        <f ca="1">IF(AND(ISNUMBER($BM$241),$B$185=1),$BM$241,HLOOKUP(INDIRECT(ADDRESS(2,COLUMN())),OFFSET($BN$2,0,0,ROW()-1,60),ROW()-1,FALSE))</f>
        <v>67</v>
      </c>
      <c r="BN39">
        <f>35</f>
        <v>35</v>
      </c>
      <c r="BO39">
        <f>36</f>
        <v>36</v>
      </c>
      <c r="BP39">
        <f>34</f>
        <v>34</v>
      </c>
      <c r="BQ39">
        <f>41</f>
        <v>41</v>
      </c>
      <c r="BR39">
        <f>31</f>
        <v>31</v>
      </c>
      <c r="BS39">
        <f>28</f>
        <v>28</v>
      </c>
      <c r="BT39">
        <f>26</f>
        <v>26</v>
      </c>
      <c r="BU39">
        <f>24</f>
        <v>24</v>
      </c>
      <c r="BV39">
        <f>24</f>
        <v>24</v>
      </c>
      <c r="BW39">
        <f>37</f>
        <v>37</v>
      </c>
      <c r="BX39">
        <f>47</f>
        <v>47</v>
      </c>
      <c r="BY39">
        <f>48</f>
        <v>48</v>
      </c>
      <c r="BZ39">
        <f>49</f>
        <v>49</v>
      </c>
      <c r="CA39">
        <f>50</f>
        <v>50</v>
      </c>
      <c r="CB39">
        <f>53</f>
        <v>53</v>
      </c>
      <c r="CC39">
        <f>90</f>
        <v>90</v>
      </c>
      <c r="CD39">
        <f>51</f>
        <v>51</v>
      </c>
      <c r="CE39">
        <f>108</f>
        <v>108</v>
      </c>
      <c r="CF39">
        <f>82</f>
        <v>82</v>
      </c>
      <c r="CG39">
        <f>68</f>
        <v>68</v>
      </c>
      <c r="CH39">
        <f>49</f>
        <v>49</v>
      </c>
      <c r="CI39">
        <f>56</f>
        <v>56</v>
      </c>
      <c r="CJ39">
        <f>31</f>
        <v>31</v>
      </c>
      <c r="CK39">
        <f>27</f>
        <v>27</v>
      </c>
      <c r="CL39">
        <f>30</f>
        <v>30</v>
      </c>
      <c r="CM39">
        <f>32</f>
        <v>32</v>
      </c>
      <c r="CN39">
        <f>37</f>
        <v>37</v>
      </c>
      <c r="CO39">
        <f>38</f>
        <v>38</v>
      </c>
      <c r="CP39">
        <f>36</f>
        <v>36</v>
      </c>
      <c r="CQ39">
        <f>32</f>
        <v>32</v>
      </c>
      <c r="CR39">
        <f>40</f>
        <v>40</v>
      </c>
      <c r="CS39">
        <f>41</f>
        <v>41</v>
      </c>
      <c r="CT39">
        <f>43</f>
        <v>43</v>
      </c>
      <c r="CU39">
        <f>46</f>
        <v>46</v>
      </c>
      <c r="CV39">
        <f>46</f>
        <v>46</v>
      </c>
      <c r="CW39">
        <f>38</f>
        <v>38</v>
      </c>
      <c r="CX39">
        <f>37</f>
        <v>37</v>
      </c>
      <c r="CY39">
        <f>39</f>
        <v>39</v>
      </c>
      <c r="CZ39">
        <f>46</f>
        <v>46</v>
      </c>
      <c r="DA39">
        <f>40</f>
        <v>40</v>
      </c>
      <c r="DB39">
        <f>27</f>
        <v>27</v>
      </c>
      <c r="DC39">
        <f>39</f>
        <v>39</v>
      </c>
      <c r="DD39">
        <f>43</f>
        <v>43</v>
      </c>
      <c r="DE39">
        <f>40</f>
        <v>40</v>
      </c>
      <c r="DF39">
        <f>43</f>
        <v>43</v>
      </c>
      <c r="DG39">
        <f>52</f>
        <v>52</v>
      </c>
      <c r="DH39">
        <f>69</f>
        <v>69</v>
      </c>
      <c r="DI39">
        <f>72</f>
        <v>72</v>
      </c>
      <c r="DJ39">
        <f>90</f>
        <v>90</v>
      </c>
      <c r="DK39">
        <f>106</f>
        <v>106</v>
      </c>
      <c r="DL39">
        <f>90</f>
        <v>90</v>
      </c>
      <c r="DM39">
        <f>77</f>
        <v>77</v>
      </c>
      <c r="DN39">
        <f>57</f>
        <v>57</v>
      </c>
      <c r="DO39">
        <f>68</f>
        <v>68</v>
      </c>
      <c r="DP39">
        <f>50</f>
        <v>50</v>
      </c>
      <c r="DQ39">
        <f>45</f>
        <v>45</v>
      </c>
      <c r="DR39">
        <f>51</f>
        <v>51</v>
      </c>
      <c r="DS39">
        <f>66</f>
        <v>66</v>
      </c>
      <c r="DT39">
        <f>63</f>
        <v>63</v>
      </c>
      <c r="DU39">
        <f>67</f>
        <v>67</v>
      </c>
    </row>
    <row r="40" spans="1:125">
      <c r="A40" t="str">
        <f>"    Truist Financial Corp"</f>
        <v xml:space="preserve">    Truist Financial Corp</v>
      </c>
      <c r="B40" t="str">
        <f>"TFC US Equity"</f>
        <v>TFC US Equity</v>
      </c>
      <c r="C40" t="str">
        <f t="shared" si="1"/>
        <v>A0621</v>
      </c>
      <c r="D40" t="str">
        <f t="shared" si="2"/>
        <v>ARD_MORTGAGE_BANKING_REVENUE</v>
      </c>
      <c r="E40" t="str">
        <f t="shared" si="3"/>
        <v>Dynamic</v>
      </c>
      <c r="F40">
        <f ca="1">IF(AND(ISNUMBER($F$242),$B$185=1),$F$242,HLOOKUP(INDIRECT(ADDRESS(2,COLUMN())),OFFSET($BN$2,0,0,ROW()-1,60),ROW()-1,FALSE))</f>
        <v>117</v>
      </c>
      <c r="G40">
        <f ca="1">IF(AND(ISNUMBER($G$242),$B$185=1),$G$242,HLOOKUP(INDIRECT(ADDRESS(2,COLUMN())),OFFSET($BN$2,0,0,ROW()-1,60),ROW()-1,FALSE))</f>
        <v>106</v>
      </c>
      <c r="H40">
        <f ca="1">IF(AND(ISNUMBER($H$242),$B$185=1),$H$242,HLOOKUP(INDIRECT(ADDRESS(2,COLUMN())),OFFSET($BN$2,0,0,ROW()-1,60),ROW()-1,FALSE))</f>
        <v>112</v>
      </c>
      <c r="I40">
        <f ca="1">IF(AND(ISNUMBER($I$242),$B$185=1),$I$242,HLOOKUP(INDIRECT(ADDRESS(2,COLUMN())),OFFSET($BN$2,0,0,ROW()-1,60),ROW()-1,FALSE))</f>
        <v>97</v>
      </c>
      <c r="J40">
        <f ca="1">IF(AND(ISNUMBER($J$242),$B$185=1),$J$242,HLOOKUP(INDIRECT(ADDRESS(2,COLUMN())),OFFSET($BN$2,0,0,ROW()-1,60),ROW()-1,FALSE))</f>
        <v>94</v>
      </c>
      <c r="K40">
        <f ca="1">IF(AND(ISNUMBER($K$242),$B$185=1),$K$242,HLOOKUP(INDIRECT(ADDRESS(2,COLUMN())),OFFSET($BN$2,0,0,ROW()-1,60),ROW()-1,FALSE))</f>
        <v>102</v>
      </c>
      <c r="L40">
        <f ca="1">IF(AND(ISNUMBER($L$242),$B$185=1),$L$242,HLOOKUP(INDIRECT(ADDRESS(2,COLUMN())),OFFSET($BN$2,0,0,ROW()-1,60),ROW()-1,FALSE))</f>
        <v>99</v>
      </c>
      <c r="M40">
        <f ca="1">IF(AND(ISNUMBER($M$242),$B$185=1),$M$242,HLOOKUP(INDIRECT(ADDRESS(2,COLUMN())),OFFSET($BN$2,0,0,ROW()-1,60),ROW()-1,FALSE))</f>
        <v>142</v>
      </c>
      <c r="N40">
        <f ca="1">IF(AND(ISNUMBER($N$242),$B$185=1),$N$242,HLOOKUP(INDIRECT(ADDRESS(2,COLUMN())),OFFSET($BN$2,0,0,ROW()-1,60),ROW()-1,FALSE))</f>
        <v>117</v>
      </c>
      <c r="O40">
        <f ca="1">IF(AND(ISNUMBER($O$242),$B$185=1),$O$242,HLOOKUP(INDIRECT(ADDRESS(2,COLUMN())),OFFSET($BN$2,0,0,ROW()-1,60),ROW()-1,FALSE))</f>
        <v>122</v>
      </c>
      <c r="P40">
        <f ca="1">IF(AND(ISNUMBER($P$242),$B$185=1),$P$242,HLOOKUP(INDIRECT(ADDRESS(2,COLUMN())),OFFSET($BN$2,0,0,ROW()-1,60),ROW()-1,FALSE))</f>
        <v>74</v>
      </c>
      <c r="Q40">
        <f ca="1">IF(AND(ISNUMBER($Q$242),$B$185=1),$Q$242,HLOOKUP(INDIRECT(ADDRESS(2,COLUMN())),OFFSET($BN$2,0,0,ROW()-1,60),ROW()-1,FALSE))</f>
        <v>89</v>
      </c>
      <c r="R40">
        <f ca="1">IF(AND(ISNUMBER($R$242),$B$185=1),$R$242,HLOOKUP(INDIRECT(ADDRESS(2,COLUMN())),OFFSET($BN$2,0,0,ROW()-1,60),ROW()-1,FALSE))</f>
        <v>159</v>
      </c>
      <c r="S40">
        <f ca="1">IF(AND(ISNUMBER($S$242),$B$185=1),$S$242,HLOOKUP(INDIRECT(ADDRESS(2,COLUMN())),OFFSET($BN$2,0,0,ROW()-1,60),ROW()-1,FALSE))</f>
        <v>179</v>
      </c>
      <c r="T40">
        <f ca="1">IF(AND(ISNUMBER($T$242),$B$185=1),$T$242,HLOOKUP(INDIRECT(ADDRESS(2,COLUMN())),OFFSET($BN$2,0,0,ROW()-1,60),ROW()-1,FALSE))</f>
        <v>117</v>
      </c>
      <c r="U40">
        <f ca="1">IF(AND(ISNUMBER($U$242),$B$185=1),$U$242,HLOOKUP(INDIRECT(ADDRESS(2,COLUMN())),OFFSET($BN$2,0,0,ROW()-1,60),ROW()-1,FALSE))</f>
        <v>100</v>
      </c>
      <c r="V40" t="str">
        <f ca="1">IF(AND(ISNUMBER($V$242),$B$185=1),$V$242,HLOOKUP(INDIRECT(ADDRESS(2,COLUMN())),OFFSET($BN$2,0,0,ROW()-1,60),ROW()-1,FALSE))</f>
        <v/>
      </c>
      <c r="W40">
        <f ca="1">IF(AND(ISNUMBER($W$242),$B$185=1),$W$242,HLOOKUP(INDIRECT(ADDRESS(2,COLUMN())),OFFSET($BN$2,0,0,ROW()-1,60),ROW()-1,FALSE))</f>
        <v>221</v>
      </c>
      <c r="X40">
        <f ca="1">IF(AND(ISNUMBER($X$242),$B$185=1),$X$242,HLOOKUP(INDIRECT(ADDRESS(2,COLUMN())),OFFSET($BN$2,0,0,ROW()-1,60),ROW()-1,FALSE))</f>
        <v>341</v>
      </c>
      <c r="Y40">
        <f ca="1">IF(AND(ISNUMBER($Y$242),$B$185=1),$Y$242,HLOOKUP(INDIRECT(ADDRESS(2,COLUMN())),OFFSET($BN$2,0,0,ROW()-1,60),ROW()-1,FALSE))</f>
        <v>245</v>
      </c>
      <c r="Z40">
        <f ca="1">IF(AND(ISNUMBER($Z$242),$B$185=1),$Z$242,HLOOKUP(INDIRECT(ADDRESS(2,COLUMN())),OFFSET($BN$2,0,0,ROW()-1,60),ROW()-1,FALSE))</f>
        <v>65</v>
      </c>
      <c r="AA40">
        <f ca="1">IF(AND(ISNUMBER($AA$242),$B$185=1),$AA$242,HLOOKUP(INDIRECT(ADDRESS(2,COLUMN())),OFFSET($BN$2,0,0,ROW()-1,60),ROW()-1,FALSE))</f>
        <v>80</v>
      </c>
      <c r="AB40">
        <f ca="1">IF(AND(ISNUMBER($AB$242),$B$185=1),$AB$242,HLOOKUP(INDIRECT(ADDRESS(2,COLUMN())),OFFSET($BN$2,0,0,ROW()-1,60),ROW()-1,FALSE))</f>
        <v>91</v>
      </c>
      <c r="AC40">
        <f ca="1">IF(AND(ISNUMBER($AC$242),$B$185=1),$AC$242,HLOOKUP(INDIRECT(ADDRESS(2,COLUMN())),OFFSET($BN$2,0,0,ROW()-1,60),ROW()-1,FALSE))</f>
        <v>49</v>
      </c>
      <c r="AD40">
        <f ca="1">IF(AND(ISNUMBER($AD$242),$B$185=1),$AD$242,HLOOKUP(INDIRECT(ADDRESS(2,COLUMN())),OFFSET($BN$2,0,0,ROW()-1,60),ROW()-1,FALSE))</f>
        <v>58</v>
      </c>
      <c r="AE40">
        <f ca="1">IF(AND(ISNUMBER($AE$242),$B$185=1),$AE$242,HLOOKUP(INDIRECT(ADDRESS(2,COLUMN())),OFFSET($BN$2,0,0,ROW()-1,60),ROW()-1,FALSE))</f>
        <v>79</v>
      </c>
      <c r="AF40">
        <f ca="1">IF(AND(ISNUMBER($AF$242),$B$185=1),$AF$242,HLOOKUP(INDIRECT(ADDRESS(2,COLUMN())),OFFSET($BN$2,0,0,ROW()-1,60),ROW()-1,FALSE))</f>
        <v>94</v>
      </c>
      <c r="AG40">
        <f ca="1">IF(AND(ISNUMBER($AG$242),$B$185=1),$AG$242,HLOOKUP(INDIRECT(ADDRESS(2,COLUMN())),OFFSET($BN$2,0,0,ROW()-1,60),ROW()-1,FALSE))</f>
        <v>99</v>
      </c>
      <c r="AH40">
        <f ca="1">IF(AND(ISNUMBER($AH$242),$B$185=1),$AH$242,HLOOKUP(INDIRECT(ADDRESS(2,COLUMN())),OFFSET($BN$2,0,0,ROW()-1,60),ROW()-1,FALSE))</f>
        <v>104</v>
      </c>
      <c r="AI40">
        <f ca="1">IF(AND(ISNUMBER($AI$242),$B$185=1),$AI$242,HLOOKUP(INDIRECT(ADDRESS(2,COLUMN())),OFFSET($BN$2,0,0,ROW()-1,60),ROW()-1,FALSE))</f>
        <v>114</v>
      </c>
      <c r="AJ40">
        <f ca="1">IF(AND(ISNUMBER($AJ$242),$B$185=1),$AJ$242,HLOOKUP(INDIRECT(ADDRESS(2,COLUMN())),OFFSET($BN$2,0,0,ROW()-1,60),ROW()-1,FALSE))</f>
        <v>94</v>
      </c>
      <c r="AK40">
        <f ca="1">IF(AND(ISNUMBER($AK$242),$B$185=1),$AK$242,HLOOKUP(INDIRECT(ADDRESS(2,COLUMN())),OFFSET($BN$2,0,0,ROW()-1,60),ROW()-1,FALSE))</f>
        <v>103</v>
      </c>
      <c r="AL40">
        <f ca="1">IF(AND(ISNUMBER($AL$242),$B$185=1),$AL$242,HLOOKUP(INDIRECT(ADDRESS(2,COLUMN())),OFFSET($BN$2,0,0,ROW()-1,60),ROW()-1,FALSE))</f>
        <v>107</v>
      </c>
      <c r="AM40">
        <f ca="1">IF(AND(ISNUMBER($AM$242),$B$185=1),$AM$242,HLOOKUP(INDIRECT(ADDRESS(2,COLUMN())),OFFSET($BN$2,0,0,ROW()-1,60),ROW()-1,FALSE))</f>
        <v>154</v>
      </c>
      <c r="AN40">
        <f ca="1">IF(AND(ISNUMBER($AN$242),$B$185=1),$AN$242,HLOOKUP(INDIRECT(ADDRESS(2,COLUMN())),OFFSET($BN$2,0,0,ROW()-1,60),ROW()-1,FALSE))</f>
        <v>111</v>
      </c>
      <c r="AO40">
        <f ca="1">IF(AND(ISNUMBER($AO$242),$B$185=1),$AO$242,HLOOKUP(INDIRECT(ADDRESS(2,COLUMN())),OFFSET($BN$2,0,0,ROW()-1,60),ROW()-1,FALSE))</f>
        <v>91</v>
      </c>
      <c r="AP40">
        <f ca="1">IF(AND(ISNUMBER($AP$242),$B$185=1),$AP$242,HLOOKUP(INDIRECT(ADDRESS(2,COLUMN())),OFFSET($BN$2,0,0,ROW()-1,60),ROW()-1,FALSE))</f>
        <v>104</v>
      </c>
      <c r="AQ40">
        <f ca="1">IF(AND(ISNUMBER($AQ$242),$B$185=1),$AQ$242,HLOOKUP(INDIRECT(ADDRESS(2,COLUMN())),OFFSET($BN$2,0,0,ROW()-1,60),ROW()-1,FALSE))</f>
        <v>111</v>
      </c>
      <c r="AR40">
        <f ca="1">IF(AND(ISNUMBER($AR$242),$B$185=1),$AR$242,HLOOKUP(INDIRECT(ADDRESS(2,COLUMN())),OFFSET($BN$2,0,0,ROW()-1,60),ROW()-1,FALSE))</f>
        <v>130</v>
      </c>
      <c r="AS40">
        <f ca="1">IF(AND(ISNUMBER($AS$242),$B$185=1),$AS$242,HLOOKUP(INDIRECT(ADDRESS(2,COLUMN())),OFFSET($BN$2,0,0,ROW()-1,60),ROW()-1,FALSE))</f>
        <v>110</v>
      </c>
      <c r="AT40">
        <f ca="1">IF(AND(ISNUMBER($AT$242),$B$185=1),$AT$242,HLOOKUP(INDIRECT(ADDRESS(2,COLUMN())),OFFSET($BN$2,0,0,ROW()-1,60),ROW()-1,FALSE))</f>
        <v>128</v>
      </c>
      <c r="AU40">
        <f ca="1">IF(AND(ISNUMBER($AU$242),$B$185=1),$AU$242,HLOOKUP(INDIRECT(ADDRESS(2,COLUMN())),OFFSET($BN$2,0,0,ROW()-1,60),ROW()-1,FALSE))</f>
        <v>107</v>
      </c>
      <c r="AV40">
        <f ca="1">IF(AND(ISNUMBER($AV$242),$B$185=1),$AV$242,HLOOKUP(INDIRECT(ADDRESS(2,COLUMN())),OFFSET($BN$2,0,0,ROW()-1,60),ROW()-1,FALSE))</f>
        <v>86</v>
      </c>
      <c r="AW40">
        <f ca="1">IF(AND(ISNUMBER($AW$242),$B$185=1),$AW$242,HLOOKUP(INDIRECT(ADDRESS(2,COLUMN())),OFFSET($BN$2,0,0,ROW()-1,60),ROW()-1,FALSE))</f>
        <v>74</v>
      </c>
      <c r="AX40">
        <f ca="1">IF(AND(ISNUMBER($AX$242),$B$185=1),$AX$242,HLOOKUP(INDIRECT(ADDRESS(2,COLUMN())),OFFSET($BN$2,0,0,ROW()-1,60),ROW()-1,FALSE))</f>
        <v>100</v>
      </c>
      <c r="AY40">
        <f ca="1">IF(AND(ISNUMBER($AY$242),$B$185=1),$AY$242,HLOOKUP(INDIRECT(ADDRESS(2,COLUMN())),OFFSET($BN$2,0,0,ROW()-1,60),ROW()-1,FALSE))</f>
        <v>117</v>
      </c>
      <c r="AZ40">
        <f ca="1">IF(AND(ISNUMBER($AZ$242),$B$185=1),$AZ$242,HLOOKUP(INDIRECT(ADDRESS(2,COLUMN())),OFFSET($BN$2,0,0,ROW()-1,60),ROW()-1,FALSE))</f>
        <v>168</v>
      </c>
      <c r="BA40">
        <f ca="1">IF(AND(ISNUMBER($BA$242),$B$185=1),$BA$242,HLOOKUP(INDIRECT(ADDRESS(2,COLUMN())),OFFSET($BN$2,0,0,ROW()-1,60),ROW()-1,FALSE))</f>
        <v>180</v>
      </c>
      <c r="BB40">
        <f ca="1">IF(AND(ISNUMBER($BB$242),$B$185=1),$BB$242,HLOOKUP(INDIRECT(ADDRESS(2,COLUMN())),OFFSET($BN$2,0,0,ROW()-1,60),ROW()-1,FALSE))</f>
        <v>231</v>
      </c>
      <c r="BC40">
        <f ca="1">IF(AND(ISNUMBER($BC$242),$B$185=1),$BC$242,HLOOKUP(INDIRECT(ADDRESS(2,COLUMN())),OFFSET($BN$2,0,0,ROW()-1,60),ROW()-1,FALSE))</f>
        <v>211</v>
      </c>
      <c r="BD40">
        <f ca="1">IF(AND(ISNUMBER($BD$242),$B$185=1),$BD$242,HLOOKUP(INDIRECT(ADDRESS(2,COLUMN())),OFFSET($BN$2,0,0,ROW()-1,60),ROW()-1,FALSE))</f>
        <v>182</v>
      </c>
      <c r="BE40">
        <f ca="1">IF(AND(ISNUMBER($BE$242),$B$185=1),$BE$242,HLOOKUP(INDIRECT(ADDRESS(2,COLUMN())),OFFSET($BN$2,0,0,ROW()-1,60),ROW()-1,FALSE))</f>
        <v>216</v>
      </c>
      <c r="BF40">
        <f ca="1">IF(AND(ISNUMBER($BF$242),$B$185=1),$BF$242,HLOOKUP(INDIRECT(ADDRESS(2,COLUMN())),OFFSET($BN$2,0,0,ROW()-1,60),ROW()-1,FALSE))</f>
        <v>135</v>
      </c>
      <c r="BG40">
        <f ca="1">IF(AND(ISNUMBER($BG$242),$B$185=1),$BG$242,HLOOKUP(INDIRECT(ADDRESS(2,COLUMN())),OFFSET($BN$2,0,0,ROW()-1,60),ROW()-1,FALSE))</f>
        <v>123</v>
      </c>
      <c r="BH40">
        <f ca="1">IF(AND(ISNUMBER($BH$242),$B$185=1),$BH$242,HLOOKUP(INDIRECT(ADDRESS(2,COLUMN())),OFFSET($BN$2,0,0,ROW()-1,60),ROW()-1,FALSE))</f>
        <v>83</v>
      </c>
      <c r="BI40">
        <f ca="1">IF(AND(ISNUMBER($BI$242),$B$185=1),$BI$242,HLOOKUP(INDIRECT(ADDRESS(2,COLUMN())),OFFSET($BN$2,0,0,ROW()-1,60),ROW()-1,FALSE))</f>
        <v>95</v>
      </c>
      <c r="BJ40">
        <f ca="1">IF(AND(ISNUMBER($BJ$242),$B$185=1),$BJ$242,HLOOKUP(INDIRECT(ADDRESS(2,COLUMN())),OFFSET($BN$2,0,0,ROW()-1,60),ROW()-1,FALSE))</f>
        <v>138</v>
      </c>
      <c r="BK40">
        <f ca="1">IF(AND(ISNUMBER($BK$242),$B$185=1),$BK$242,HLOOKUP(INDIRECT(ADDRESS(2,COLUMN())),OFFSET($BN$2,0,0,ROW()-1,60),ROW()-1,FALSE))</f>
        <v>184</v>
      </c>
      <c r="BL40">
        <f ca="1">IF(AND(ISNUMBER($BL$242),$B$185=1),$BL$242,HLOOKUP(INDIRECT(ADDRESS(2,COLUMN())),OFFSET($BN$2,0,0,ROW()-1,60),ROW()-1,FALSE))</f>
        <v>110</v>
      </c>
      <c r="BM40" t="str">
        <f ca="1">IF(AND(ISNUMBER($BM$242),$B$185=1),$BM$242,HLOOKUP(INDIRECT(ADDRESS(2,COLUMN())),OFFSET($BN$2,0,0,ROW()-1,60),ROW()-1,FALSE))</f>
        <v/>
      </c>
      <c r="BN40">
        <f>117</f>
        <v>117</v>
      </c>
      <c r="BO40">
        <f>106</f>
        <v>106</v>
      </c>
      <c r="BP40">
        <f>112</f>
        <v>112</v>
      </c>
      <c r="BQ40">
        <f>97</f>
        <v>97</v>
      </c>
      <c r="BR40">
        <f>94</f>
        <v>94</v>
      </c>
      <c r="BS40">
        <f>102</f>
        <v>102</v>
      </c>
      <c r="BT40">
        <f>99</f>
        <v>99</v>
      </c>
      <c r="BU40">
        <f>142</f>
        <v>142</v>
      </c>
      <c r="BV40">
        <f>117</f>
        <v>117</v>
      </c>
      <c r="BW40">
        <f>122</f>
        <v>122</v>
      </c>
      <c r="BX40">
        <f>74</f>
        <v>74</v>
      </c>
      <c r="BY40">
        <f>89</f>
        <v>89</v>
      </c>
      <c r="BZ40">
        <f>159</f>
        <v>159</v>
      </c>
      <c r="CA40">
        <f>179</f>
        <v>179</v>
      </c>
      <c r="CB40">
        <f>117</f>
        <v>117</v>
      </c>
      <c r="CC40">
        <f>100</f>
        <v>100</v>
      </c>
      <c r="CD40" t="str">
        <f>""</f>
        <v/>
      </c>
      <c r="CE40">
        <f>221</f>
        <v>221</v>
      </c>
      <c r="CF40">
        <f>341</f>
        <v>341</v>
      </c>
      <c r="CG40">
        <f>245</f>
        <v>245</v>
      </c>
      <c r="CH40">
        <f>65</f>
        <v>65</v>
      </c>
      <c r="CI40">
        <f>80</f>
        <v>80</v>
      </c>
      <c r="CJ40">
        <f>91</f>
        <v>91</v>
      </c>
      <c r="CK40">
        <f>49</f>
        <v>49</v>
      </c>
      <c r="CL40">
        <f>58</f>
        <v>58</v>
      </c>
      <c r="CM40">
        <f>79</f>
        <v>79</v>
      </c>
      <c r="CN40">
        <f>94</f>
        <v>94</v>
      </c>
      <c r="CO40">
        <f>99</f>
        <v>99</v>
      </c>
      <c r="CP40">
        <f>104</f>
        <v>104</v>
      </c>
      <c r="CQ40">
        <f>114</f>
        <v>114</v>
      </c>
      <c r="CR40">
        <f>94</f>
        <v>94</v>
      </c>
      <c r="CS40">
        <f>103</f>
        <v>103</v>
      </c>
      <c r="CT40">
        <f>107</f>
        <v>107</v>
      </c>
      <c r="CU40">
        <f>154</f>
        <v>154</v>
      </c>
      <c r="CV40">
        <f>111</f>
        <v>111</v>
      </c>
      <c r="CW40">
        <f>91</f>
        <v>91</v>
      </c>
      <c r="CX40">
        <f>104</f>
        <v>104</v>
      </c>
      <c r="CY40">
        <f>111</f>
        <v>111</v>
      </c>
      <c r="CZ40">
        <f>130</f>
        <v>130</v>
      </c>
      <c r="DA40">
        <f>110</f>
        <v>110</v>
      </c>
      <c r="DB40">
        <f>128</f>
        <v>128</v>
      </c>
      <c r="DC40">
        <f>107</f>
        <v>107</v>
      </c>
      <c r="DD40">
        <f>86</f>
        <v>86</v>
      </c>
      <c r="DE40">
        <f>74</f>
        <v>74</v>
      </c>
      <c r="DF40">
        <f>100</f>
        <v>100</v>
      </c>
      <c r="DG40">
        <f>117</f>
        <v>117</v>
      </c>
      <c r="DH40">
        <f>168</f>
        <v>168</v>
      </c>
      <c r="DI40">
        <f>180</f>
        <v>180</v>
      </c>
      <c r="DJ40">
        <f>231</f>
        <v>231</v>
      </c>
      <c r="DK40">
        <f>211</f>
        <v>211</v>
      </c>
      <c r="DL40">
        <f>182</f>
        <v>182</v>
      </c>
      <c r="DM40">
        <f>216</f>
        <v>216</v>
      </c>
      <c r="DN40">
        <f>135</f>
        <v>135</v>
      </c>
      <c r="DO40">
        <f>123</f>
        <v>123</v>
      </c>
      <c r="DP40">
        <f>83</f>
        <v>83</v>
      </c>
      <c r="DQ40">
        <f>95</f>
        <v>95</v>
      </c>
      <c r="DR40">
        <f>138</f>
        <v>138</v>
      </c>
      <c r="DS40">
        <f>184</f>
        <v>184</v>
      </c>
      <c r="DT40">
        <f>110</f>
        <v>110</v>
      </c>
      <c r="DU40" t="str">
        <f>""</f>
        <v/>
      </c>
    </row>
    <row r="41" spans="1:125">
      <c r="A41" t="str">
        <f>"    US Bancorp"</f>
        <v xml:space="preserve">    US Bancorp</v>
      </c>
      <c r="B41" t="str">
        <f>"USB US Equity"</f>
        <v>USB US Equity</v>
      </c>
      <c r="C41" t="str">
        <f t="shared" si="1"/>
        <v>A0621</v>
      </c>
      <c r="D41" t="str">
        <f t="shared" si="2"/>
        <v>ARD_MORTGAGE_BANKING_REVENUE</v>
      </c>
      <c r="E41" t="str">
        <f t="shared" si="3"/>
        <v>Dynamic</v>
      </c>
      <c r="F41">
        <f ca="1">IF(AND(ISNUMBER($F$243),$B$185=1),$F$243,HLOOKUP(INDIRECT(ADDRESS(2,COLUMN())),OFFSET($BN$2,0,0,ROW()-1,60),ROW()-1,FALSE))</f>
        <v>116</v>
      </c>
      <c r="G41">
        <f ca="1">IF(AND(ISNUMBER($G$243),$B$185=1),$G$243,HLOOKUP(INDIRECT(ADDRESS(2,COLUMN())),OFFSET($BN$2,0,0,ROW()-1,60),ROW()-1,FALSE))</f>
        <v>155</v>
      </c>
      <c r="H41">
        <f ca="1">IF(AND(ISNUMBER($H$243),$B$185=1),$H$243,HLOOKUP(INDIRECT(ADDRESS(2,COLUMN())),OFFSET($BN$2,0,0,ROW()-1,60),ROW()-1,FALSE))</f>
        <v>190</v>
      </c>
      <c r="I41">
        <f ca="1">IF(AND(ISNUMBER($I$243),$B$185=1),$I$243,HLOOKUP(INDIRECT(ADDRESS(2,COLUMN())),OFFSET($BN$2,0,0,ROW()-1,60),ROW()-1,FALSE))</f>
        <v>166</v>
      </c>
      <c r="J41">
        <f ca="1">IF(AND(ISNUMBER($J$243),$B$185=1),$J$243,HLOOKUP(INDIRECT(ADDRESS(2,COLUMN())),OFFSET($BN$2,0,0,ROW()-1,60),ROW()-1,FALSE))</f>
        <v>137</v>
      </c>
      <c r="K41">
        <f ca="1">IF(AND(ISNUMBER($K$243),$B$185=1),$K$243,HLOOKUP(INDIRECT(ADDRESS(2,COLUMN())),OFFSET($BN$2,0,0,ROW()-1,60),ROW()-1,FALSE))</f>
        <v>144</v>
      </c>
      <c r="L41">
        <f ca="1">IF(AND(ISNUMBER($L$243),$B$185=1),$L$243,HLOOKUP(INDIRECT(ADDRESS(2,COLUMN())),OFFSET($BN$2,0,0,ROW()-1,60),ROW()-1,FALSE))</f>
        <v>131</v>
      </c>
      <c r="M41">
        <f ca="1">IF(AND(ISNUMBER($M$243),$B$185=1),$M$243,HLOOKUP(INDIRECT(ADDRESS(2,COLUMN())),OFFSET($BN$2,0,0,ROW()-1,60),ROW()-1,FALSE))</f>
        <v>128</v>
      </c>
      <c r="N41">
        <f ca="1">IF(AND(ISNUMBER($N$243),$B$185=1),$N$243,HLOOKUP(INDIRECT(ADDRESS(2,COLUMN())),OFFSET($BN$2,0,0,ROW()-1,60),ROW()-1,FALSE))</f>
        <v>104</v>
      </c>
      <c r="O41">
        <f ca="1">IF(AND(ISNUMBER($O$243),$B$185=1),$O$243,HLOOKUP(INDIRECT(ADDRESS(2,COLUMN())),OFFSET($BN$2,0,0,ROW()-1,60),ROW()-1,FALSE))</f>
        <v>81</v>
      </c>
      <c r="P41">
        <f ca="1">IF(AND(ISNUMBER($P$243),$B$185=1),$P$243,HLOOKUP(INDIRECT(ADDRESS(2,COLUMN())),OFFSET($BN$2,0,0,ROW()-1,60),ROW()-1,FALSE))</f>
        <v>142</v>
      </c>
      <c r="Q41">
        <f ca="1">IF(AND(ISNUMBER($Q$243),$B$185=1),$Q$243,HLOOKUP(INDIRECT(ADDRESS(2,COLUMN())),OFFSET($BN$2,0,0,ROW()-1,60),ROW()-1,FALSE))</f>
        <v>200</v>
      </c>
      <c r="R41">
        <f ca="1">IF(AND(ISNUMBER($R$243),$B$185=1),$R$243,HLOOKUP(INDIRECT(ADDRESS(2,COLUMN())),OFFSET($BN$2,0,0,ROW()-1,60),ROW()-1,FALSE))</f>
        <v>298</v>
      </c>
      <c r="S41">
        <f ca="1">IF(AND(ISNUMBER($S$243),$B$185=1),$S$243,HLOOKUP(INDIRECT(ADDRESS(2,COLUMN())),OFFSET($BN$2,0,0,ROW()-1,60),ROW()-1,FALSE))</f>
        <v>418</v>
      </c>
      <c r="T41">
        <f ca="1">IF(AND(ISNUMBER($T$243),$B$185=1),$T$243,HLOOKUP(INDIRECT(ADDRESS(2,COLUMN())),OFFSET($BN$2,0,0,ROW()-1,60),ROW()-1,FALSE))</f>
        <v>346</v>
      </c>
      <c r="U41">
        <f ca="1">IF(AND(ISNUMBER($U$243),$B$185=1),$U$243,HLOOKUP(INDIRECT(ADDRESS(2,COLUMN())),OFFSET($BN$2,0,0,ROW()-1,60),ROW()-1,FALSE))</f>
        <v>299</v>
      </c>
      <c r="V41">
        <f ca="1">IF(AND(ISNUMBER($V$243),$B$185=1),$V$243,HLOOKUP(INDIRECT(ADDRESS(2,COLUMN())),OFFSET($BN$2,0,0,ROW()-1,60),ROW()-1,FALSE))</f>
        <v>468</v>
      </c>
      <c r="W41">
        <f ca="1">IF(AND(ISNUMBER($W$243),$B$185=1),$W$243,HLOOKUP(INDIRECT(ADDRESS(2,COLUMN())),OFFSET($BN$2,0,0,ROW()-1,60),ROW()-1,FALSE))</f>
        <v>553</v>
      </c>
      <c r="X41">
        <f ca="1">IF(AND(ISNUMBER($X$243),$B$185=1),$X$243,HLOOKUP(INDIRECT(ADDRESS(2,COLUMN())),OFFSET($BN$2,0,0,ROW()-1,60),ROW()-1,FALSE))</f>
        <v>648</v>
      </c>
      <c r="Y41">
        <f ca="1">IF(AND(ISNUMBER($Y$243),$B$185=1),$Y$243,HLOOKUP(INDIRECT(ADDRESS(2,COLUMN())),OFFSET($BN$2,0,0,ROW()-1,60),ROW()-1,FALSE))</f>
        <v>395</v>
      </c>
      <c r="Z41">
        <f ca="1">IF(AND(ISNUMBER($Z$243),$B$185=1),$Z$243,HLOOKUP(INDIRECT(ADDRESS(2,COLUMN())),OFFSET($BN$2,0,0,ROW()-1,60),ROW()-1,FALSE))</f>
        <v>244</v>
      </c>
      <c r="AA41">
        <f ca="1">IF(AND(ISNUMBER($AA$243),$B$185=1),$AA$243,HLOOKUP(INDIRECT(ADDRESS(2,COLUMN())),OFFSET($BN$2,0,0,ROW()-1,60),ROW()-1,FALSE))</f>
        <v>272</v>
      </c>
      <c r="AB41">
        <f ca="1">IF(AND(ISNUMBER($AB$243),$B$185=1),$AB$243,HLOOKUP(INDIRECT(ADDRESS(2,COLUMN())),OFFSET($BN$2,0,0,ROW()-1,60),ROW()-1,FALSE))</f>
        <v>189</v>
      </c>
      <c r="AC41">
        <f ca="1">IF(AND(ISNUMBER($AC$243),$B$185=1),$AC$243,HLOOKUP(INDIRECT(ADDRESS(2,COLUMN())),OFFSET($BN$2,0,0,ROW()-1,60),ROW()-1,FALSE))</f>
        <v>169</v>
      </c>
      <c r="AD41">
        <f ca="1">IF(AND(ISNUMBER($AD$243),$B$185=1),$AD$243,HLOOKUP(INDIRECT(ADDRESS(2,COLUMN())),OFFSET($BN$2,0,0,ROW()-1,60),ROW()-1,FALSE))</f>
        <v>171</v>
      </c>
      <c r="AE41">
        <f ca="1">IF(AND(ISNUMBER($AE$243),$B$185=1),$AE$243,HLOOKUP(INDIRECT(ADDRESS(2,COLUMN())),OFFSET($BN$2,0,0,ROW()-1,60),ROW()-1,FALSE))</f>
        <v>174</v>
      </c>
      <c r="AF41">
        <f ca="1">IF(AND(ISNUMBER($AF$243),$B$185=1),$AF$243,HLOOKUP(INDIRECT(ADDRESS(2,COLUMN())),OFFSET($BN$2,0,0,ROW()-1,60),ROW()-1,FALSE))</f>
        <v>191</v>
      </c>
      <c r="AG41">
        <f ca="1">IF(AND(ISNUMBER($AG$243),$B$185=1),$AG$243,HLOOKUP(INDIRECT(ADDRESS(2,COLUMN())),OFFSET($BN$2,0,0,ROW()-1,60),ROW()-1,FALSE))</f>
        <v>184</v>
      </c>
      <c r="AH41">
        <f ca="1">IF(AND(ISNUMBER($AH$243),$B$185=1),$AH$243,HLOOKUP(INDIRECT(ADDRESS(2,COLUMN())),OFFSET($BN$2,0,0,ROW()-1,60),ROW()-1,FALSE))</f>
        <v>202</v>
      </c>
      <c r="AI41">
        <f ca="1">IF(AND(ISNUMBER($AI$243),$B$185=1),$AI$243,HLOOKUP(INDIRECT(ADDRESS(2,COLUMN())),OFFSET($BN$2,0,0,ROW()-1,60),ROW()-1,FALSE))</f>
        <v>213</v>
      </c>
      <c r="AJ41">
        <f ca="1">IF(AND(ISNUMBER($AJ$243),$B$185=1),$AJ$243,HLOOKUP(INDIRECT(ADDRESS(2,COLUMN())),OFFSET($BN$2,0,0,ROW()-1,60),ROW()-1,FALSE))</f>
        <v>212</v>
      </c>
      <c r="AK41">
        <f ca="1">IF(AND(ISNUMBER($AK$243),$B$185=1),$AK$243,HLOOKUP(INDIRECT(ADDRESS(2,COLUMN())),OFFSET($BN$2,0,0,ROW()-1,60),ROW()-1,FALSE))</f>
        <v>207</v>
      </c>
      <c r="AL41">
        <f ca="1">IF(AND(ISNUMBER($AL$243),$B$185=1),$AL$243,HLOOKUP(INDIRECT(ADDRESS(2,COLUMN())),OFFSET($BN$2,0,0,ROW()-1,60),ROW()-1,FALSE))</f>
        <v>240</v>
      </c>
      <c r="AM41">
        <f ca="1">IF(AND(ISNUMBER($AM$243),$B$185=1),$AM$243,HLOOKUP(INDIRECT(ADDRESS(2,COLUMN())),OFFSET($BN$2,0,0,ROW()-1,60),ROW()-1,FALSE))</f>
        <v>314</v>
      </c>
      <c r="AN41">
        <f ca="1">IF(AND(ISNUMBER($AN$243),$B$185=1),$AN$243,HLOOKUP(INDIRECT(ADDRESS(2,COLUMN())),OFFSET($BN$2,0,0,ROW()-1,60),ROW()-1,FALSE))</f>
        <v>238</v>
      </c>
      <c r="AO41">
        <f ca="1">IF(AND(ISNUMBER($AO$243),$B$185=1),$AO$243,HLOOKUP(INDIRECT(ADDRESS(2,COLUMN())),OFFSET($BN$2,0,0,ROW()-1,60),ROW()-1,FALSE))</f>
        <v>187</v>
      </c>
      <c r="AP41">
        <f ca="1">IF(AND(ISNUMBER($AP$243),$B$185=1),$AP$243,HLOOKUP(INDIRECT(ADDRESS(2,COLUMN())),OFFSET($BN$2,0,0,ROW()-1,60),ROW()-1,FALSE))</f>
        <v>211</v>
      </c>
      <c r="AQ41">
        <f ca="1">IF(AND(ISNUMBER($AQ$243),$B$185=1),$AQ$243,HLOOKUP(INDIRECT(ADDRESS(2,COLUMN())),OFFSET($BN$2,0,0,ROW()-1,60),ROW()-1,FALSE))</f>
        <v>224</v>
      </c>
      <c r="AR41">
        <f ca="1">IF(AND(ISNUMBER($AR$243),$B$185=1),$AR$243,HLOOKUP(INDIRECT(ADDRESS(2,COLUMN())),OFFSET($BN$2,0,0,ROW()-1,60),ROW()-1,FALSE))</f>
        <v>231</v>
      </c>
      <c r="AS41">
        <f ca="1">IF(AND(ISNUMBER($AS$243),$B$185=1),$AS$243,HLOOKUP(INDIRECT(ADDRESS(2,COLUMN())),OFFSET($BN$2,0,0,ROW()-1,60),ROW()-1,FALSE))</f>
        <v>240</v>
      </c>
      <c r="AT41">
        <f ca="1">IF(AND(ISNUMBER($AT$243),$B$185=1),$AT$243,HLOOKUP(INDIRECT(ADDRESS(2,COLUMN())),OFFSET($BN$2,0,0,ROW()-1,60),ROW()-1,FALSE))</f>
        <v>235</v>
      </c>
      <c r="AU41">
        <f ca="1">IF(AND(ISNUMBER($AU$243),$B$185=1),$AU$243,HLOOKUP(INDIRECT(ADDRESS(2,COLUMN())),OFFSET($BN$2,0,0,ROW()-1,60),ROW()-1,FALSE))</f>
        <v>260</v>
      </c>
      <c r="AV41">
        <f ca="1">IF(AND(ISNUMBER($AV$243),$B$185=1),$AV$243,HLOOKUP(INDIRECT(ADDRESS(2,COLUMN())),OFFSET($BN$2,0,0,ROW()-1,60),ROW()-1,FALSE))</f>
        <v>278</v>
      </c>
      <c r="AW41">
        <f ca="1">IF(AND(ISNUMBER($AW$243),$B$185=1),$AW$243,HLOOKUP(INDIRECT(ADDRESS(2,COLUMN())),OFFSET($BN$2,0,0,ROW()-1,60),ROW()-1,FALSE))</f>
        <v>236</v>
      </c>
      <c r="AX41">
        <f ca="1">IF(AND(ISNUMBER($AX$243),$B$185=1),$AX$243,HLOOKUP(INDIRECT(ADDRESS(2,COLUMN())),OFFSET($BN$2,0,0,ROW()-1,60),ROW()-1,FALSE))</f>
        <v>231</v>
      </c>
      <c r="AY41">
        <f ca="1">IF(AND(ISNUMBER($AY$243),$B$185=1),$AY$243,HLOOKUP(INDIRECT(ADDRESS(2,COLUMN())),OFFSET($BN$2,0,0,ROW()-1,60),ROW()-1,FALSE))</f>
        <v>328</v>
      </c>
      <c r="AZ41">
        <f ca="1">IF(AND(ISNUMBER($AZ$243),$B$185=1),$AZ$243,HLOOKUP(INDIRECT(ADDRESS(2,COLUMN())),OFFSET($BN$2,0,0,ROW()-1,60),ROW()-1,FALSE))</f>
        <v>396</v>
      </c>
      <c r="BA41">
        <f ca="1">IF(AND(ISNUMBER($BA$243),$B$185=1),$BA$243,HLOOKUP(INDIRECT(ADDRESS(2,COLUMN())),OFFSET($BN$2,0,0,ROW()-1,60),ROW()-1,FALSE))</f>
        <v>401</v>
      </c>
      <c r="BB41">
        <f ca="1">IF(AND(ISNUMBER($BB$243),$B$185=1),$BB$243,HLOOKUP(INDIRECT(ADDRESS(2,COLUMN())),OFFSET($BN$2,0,0,ROW()-1,60),ROW()-1,FALSE))</f>
        <v>476</v>
      </c>
      <c r="BC41">
        <f ca="1">IF(AND(ISNUMBER($BC$243),$B$185=1),$BC$243,HLOOKUP(INDIRECT(ADDRESS(2,COLUMN())),OFFSET($BN$2,0,0,ROW()-1,60),ROW()-1,FALSE))</f>
        <v>519</v>
      </c>
      <c r="BD41">
        <f ca="1">IF(AND(ISNUMBER($BD$243),$B$185=1),$BD$243,HLOOKUP(INDIRECT(ADDRESS(2,COLUMN())),OFFSET($BN$2,0,0,ROW()-1,60),ROW()-1,FALSE))</f>
        <v>490</v>
      </c>
      <c r="BE41">
        <f ca="1">IF(AND(ISNUMBER($BE$243),$B$185=1),$BE$243,HLOOKUP(INDIRECT(ADDRESS(2,COLUMN())),OFFSET($BN$2,0,0,ROW()-1,60),ROW()-1,FALSE))</f>
        <v>452</v>
      </c>
      <c r="BF41">
        <f ca="1">IF(AND(ISNUMBER($BF$243),$B$185=1),$BF$243,HLOOKUP(INDIRECT(ADDRESS(2,COLUMN())),OFFSET($BN$2,0,0,ROW()-1,60),ROW()-1,FALSE))</f>
        <v>303</v>
      </c>
      <c r="BG41">
        <f ca="1">IF(AND(ISNUMBER($BG$243),$B$185=1),$BG$243,HLOOKUP(INDIRECT(ADDRESS(2,COLUMN())),OFFSET($BN$2,0,0,ROW()-1,60),ROW()-1,FALSE))</f>
        <v>245</v>
      </c>
      <c r="BH41">
        <f ca="1">IF(AND(ISNUMBER($BH$243),$B$185=1),$BH$243,HLOOKUP(INDIRECT(ADDRESS(2,COLUMN())),OFFSET($BN$2,0,0,ROW()-1,60),ROW()-1,FALSE))</f>
        <v>239</v>
      </c>
      <c r="BI41">
        <f ca="1">IF(AND(ISNUMBER($BI$243),$B$185=1),$BI$243,HLOOKUP(INDIRECT(ADDRESS(2,COLUMN())),OFFSET($BN$2,0,0,ROW()-1,60),ROW()-1,FALSE))</f>
        <v>199</v>
      </c>
      <c r="BJ41">
        <f ca="1">IF(AND(ISNUMBER($BJ$243),$B$185=1),$BJ$243,HLOOKUP(INDIRECT(ADDRESS(2,COLUMN())),OFFSET($BN$2,0,0,ROW()-1,60),ROW()-1,FALSE))</f>
        <v>250</v>
      </c>
      <c r="BK41">
        <f ca="1">IF(AND(ISNUMBER($BK$243),$B$185=1),$BK$243,HLOOKUP(INDIRECT(ADDRESS(2,COLUMN())),OFFSET($BN$2,0,0,ROW()-1,60),ROW()-1,FALSE))</f>
        <v>310</v>
      </c>
      <c r="BL41">
        <f ca="1">IF(AND(ISNUMBER($BL$243),$B$185=1),$BL$243,HLOOKUP(INDIRECT(ADDRESS(2,COLUMN())),OFFSET($BN$2,0,0,ROW()-1,60),ROW()-1,FALSE))</f>
        <v>243</v>
      </c>
      <c r="BM41" t="str">
        <f ca="1">IF(AND(ISNUMBER($BM$243),$B$185=1),$BM$243,HLOOKUP(INDIRECT(ADDRESS(2,COLUMN())),OFFSET($BN$2,0,0,ROW()-1,60),ROW()-1,FALSE))</f>
        <v/>
      </c>
      <c r="BN41">
        <f>116</f>
        <v>116</v>
      </c>
      <c r="BO41">
        <f>155</f>
        <v>155</v>
      </c>
      <c r="BP41">
        <f>190</f>
        <v>190</v>
      </c>
      <c r="BQ41">
        <f>166</f>
        <v>166</v>
      </c>
      <c r="BR41">
        <f>137</f>
        <v>137</v>
      </c>
      <c r="BS41">
        <f>144</f>
        <v>144</v>
      </c>
      <c r="BT41">
        <f>131</f>
        <v>131</v>
      </c>
      <c r="BU41">
        <f>128</f>
        <v>128</v>
      </c>
      <c r="BV41">
        <f>104</f>
        <v>104</v>
      </c>
      <c r="BW41">
        <f>81</f>
        <v>81</v>
      </c>
      <c r="BX41">
        <f>142</f>
        <v>142</v>
      </c>
      <c r="BY41">
        <f>200</f>
        <v>200</v>
      </c>
      <c r="BZ41">
        <f>298</f>
        <v>298</v>
      </c>
      <c r="CA41">
        <f>418</f>
        <v>418</v>
      </c>
      <c r="CB41">
        <f>346</f>
        <v>346</v>
      </c>
      <c r="CC41">
        <f>299</f>
        <v>299</v>
      </c>
      <c r="CD41">
        <f>468</f>
        <v>468</v>
      </c>
      <c r="CE41">
        <f>553</f>
        <v>553</v>
      </c>
      <c r="CF41">
        <f>648</f>
        <v>648</v>
      </c>
      <c r="CG41">
        <f>395</f>
        <v>395</v>
      </c>
      <c r="CH41">
        <f>244</f>
        <v>244</v>
      </c>
      <c r="CI41">
        <f>272</f>
        <v>272</v>
      </c>
      <c r="CJ41">
        <f>189</f>
        <v>189</v>
      </c>
      <c r="CK41">
        <f>169</f>
        <v>169</v>
      </c>
      <c r="CL41">
        <f>171</f>
        <v>171</v>
      </c>
      <c r="CM41">
        <f>174</f>
        <v>174</v>
      </c>
      <c r="CN41">
        <f>191</f>
        <v>191</v>
      </c>
      <c r="CO41">
        <f>184</f>
        <v>184</v>
      </c>
      <c r="CP41">
        <f>202</f>
        <v>202</v>
      </c>
      <c r="CQ41">
        <f>213</f>
        <v>213</v>
      </c>
      <c r="CR41">
        <f>212</f>
        <v>212</v>
      </c>
      <c r="CS41">
        <f>207</f>
        <v>207</v>
      </c>
      <c r="CT41">
        <f>240</f>
        <v>240</v>
      </c>
      <c r="CU41">
        <f>314</f>
        <v>314</v>
      </c>
      <c r="CV41">
        <f>238</f>
        <v>238</v>
      </c>
      <c r="CW41">
        <f>187</f>
        <v>187</v>
      </c>
      <c r="CX41">
        <f>211</f>
        <v>211</v>
      </c>
      <c r="CY41">
        <f>224</f>
        <v>224</v>
      </c>
      <c r="CZ41">
        <f>231</f>
        <v>231</v>
      </c>
      <c r="DA41">
        <f>240</f>
        <v>240</v>
      </c>
      <c r="DB41">
        <f>235</f>
        <v>235</v>
      </c>
      <c r="DC41">
        <f>260</f>
        <v>260</v>
      </c>
      <c r="DD41">
        <f>278</f>
        <v>278</v>
      </c>
      <c r="DE41">
        <f>236</f>
        <v>236</v>
      </c>
      <c r="DF41">
        <f>231</f>
        <v>231</v>
      </c>
      <c r="DG41">
        <f>328</f>
        <v>328</v>
      </c>
      <c r="DH41">
        <f>396</f>
        <v>396</v>
      </c>
      <c r="DI41">
        <f>401</f>
        <v>401</v>
      </c>
      <c r="DJ41">
        <f>476</f>
        <v>476</v>
      </c>
      <c r="DK41">
        <f>519</f>
        <v>519</v>
      </c>
      <c r="DL41">
        <f>490</f>
        <v>490</v>
      </c>
      <c r="DM41">
        <f>452</f>
        <v>452</v>
      </c>
      <c r="DN41">
        <f>303</f>
        <v>303</v>
      </c>
      <c r="DO41">
        <f>245</f>
        <v>245</v>
      </c>
      <c r="DP41">
        <f>239</f>
        <v>239</v>
      </c>
      <c r="DQ41">
        <f>199</f>
        <v>199</v>
      </c>
      <c r="DR41">
        <f>250</f>
        <v>250</v>
      </c>
      <c r="DS41">
        <f>310</f>
        <v>310</v>
      </c>
      <c r="DT41">
        <f>243</f>
        <v>243</v>
      </c>
      <c r="DU41" t="str">
        <f>""</f>
        <v/>
      </c>
    </row>
    <row r="42" spans="1:125">
      <c r="A42" t="str">
        <f>"    Wells Fargo &amp; Co"</f>
        <v xml:space="preserve">    Wells Fargo &amp; Co</v>
      </c>
      <c r="B42" t="str">
        <f>"WFC US Equity"</f>
        <v>WFC US Equity</v>
      </c>
      <c r="C42" t="str">
        <f t="shared" si="1"/>
        <v>A0621</v>
      </c>
      <c r="D42" t="str">
        <f t="shared" si="2"/>
        <v>ARD_MORTGAGE_BANKING_REVENUE</v>
      </c>
      <c r="E42" t="str">
        <f t="shared" si="3"/>
        <v>Dynamic</v>
      </c>
      <c r="F42">
        <f ca="1">IF(AND(ISNUMBER($F$244),$B$185=1),$F$244,HLOOKUP(INDIRECT(ADDRESS(2,COLUMN())),OFFSET($BN$2,0,0,ROW()-1,60),ROW()-1,FALSE))</f>
        <v>294</v>
      </c>
      <c r="G42">
        <f ca="1">IF(AND(ISNUMBER($G$244),$B$185=1),$G$244,HLOOKUP(INDIRECT(ADDRESS(2,COLUMN())),OFFSET($BN$2,0,0,ROW()-1,60),ROW()-1,FALSE))</f>
        <v>280</v>
      </c>
      <c r="H42">
        <f ca="1">IF(AND(ISNUMBER($H$244),$B$185=1),$H$244,HLOOKUP(INDIRECT(ADDRESS(2,COLUMN())),OFFSET($BN$2,0,0,ROW()-1,60),ROW()-1,FALSE))</f>
        <v>243</v>
      </c>
      <c r="I42">
        <f ca="1">IF(AND(ISNUMBER($I$244),$B$185=1),$I$244,HLOOKUP(INDIRECT(ADDRESS(2,COLUMN())),OFFSET($BN$2,0,0,ROW()-1,60),ROW()-1,FALSE))</f>
        <v>230</v>
      </c>
      <c r="J42">
        <f ca="1">IF(AND(ISNUMBER($J$244),$B$185=1),$J$244,HLOOKUP(INDIRECT(ADDRESS(2,COLUMN())),OFFSET($BN$2,0,0,ROW()-1,60),ROW()-1,FALSE))</f>
        <v>202</v>
      </c>
      <c r="K42">
        <f ca="1">IF(AND(ISNUMBER($K$244),$B$185=1),$K$244,HLOOKUP(INDIRECT(ADDRESS(2,COLUMN())),OFFSET($BN$2,0,0,ROW()-1,60),ROW()-1,FALSE))</f>
        <v>193</v>
      </c>
      <c r="L42">
        <f ca="1">IF(AND(ISNUMBER($L$244),$B$185=1),$L$244,HLOOKUP(INDIRECT(ADDRESS(2,COLUMN())),OFFSET($BN$2,0,0,ROW()-1,60),ROW()-1,FALSE))</f>
        <v>202</v>
      </c>
      <c r="M42">
        <f ca="1">IF(AND(ISNUMBER($M$244),$B$185=1),$M$244,HLOOKUP(INDIRECT(ADDRESS(2,COLUMN())),OFFSET($BN$2,0,0,ROW()-1,60),ROW()-1,FALSE))</f>
        <v>232</v>
      </c>
      <c r="N42">
        <f ca="1">IF(AND(ISNUMBER($N$244),$B$185=1),$N$244,HLOOKUP(INDIRECT(ADDRESS(2,COLUMN())),OFFSET($BN$2,0,0,ROW()-1,60),ROW()-1,FALSE))</f>
        <v>79</v>
      </c>
      <c r="O42">
        <f ca="1">IF(AND(ISNUMBER($O$244),$B$185=1),$O$244,HLOOKUP(INDIRECT(ADDRESS(2,COLUMN())),OFFSET($BN$2,0,0,ROW()-1,60),ROW()-1,FALSE))</f>
        <v>324</v>
      </c>
      <c r="P42">
        <f ca="1">IF(AND(ISNUMBER($P$244),$B$185=1),$P$244,HLOOKUP(INDIRECT(ADDRESS(2,COLUMN())),OFFSET($BN$2,0,0,ROW()-1,60),ROW()-1,FALSE))</f>
        <v>287</v>
      </c>
      <c r="Q42">
        <f ca="1">IF(AND(ISNUMBER($Q$244),$B$185=1),$Q$244,HLOOKUP(INDIRECT(ADDRESS(2,COLUMN())),OFFSET($BN$2,0,0,ROW()-1,60),ROW()-1,FALSE))</f>
        <v>693</v>
      </c>
      <c r="R42">
        <f ca="1">IF(AND(ISNUMBER($R$244),$B$185=1),$R$244,HLOOKUP(INDIRECT(ADDRESS(2,COLUMN())),OFFSET($BN$2,0,0,ROW()-1,60),ROW()-1,FALSE))</f>
        <v>1035</v>
      </c>
      <c r="S42">
        <f ca="1">IF(AND(ISNUMBER($S$244),$B$185=1),$S$244,HLOOKUP(INDIRECT(ADDRESS(2,COLUMN())),OFFSET($BN$2,0,0,ROW()-1,60),ROW()-1,FALSE))</f>
        <v>1259</v>
      </c>
      <c r="T42">
        <f ca="1">IF(AND(ISNUMBER($T$244),$B$185=1),$T$244,HLOOKUP(INDIRECT(ADDRESS(2,COLUMN())),OFFSET($BN$2,0,0,ROW()-1,60),ROW()-1,FALSE))</f>
        <v>1336</v>
      </c>
      <c r="U42">
        <f ca="1">IF(AND(ISNUMBER($U$244),$B$185=1),$U$244,HLOOKUP(INDIRECT(ADDRESS(2,COLUMN())),OFFSET($BN$2,0,0,ROW()-1,60),ROW()-1,FALSE))</f>
        <v>1326</v>
      </c>
      <c r="V42">
        <f ca="1">IF(AND(ISNUMBER($V$244),$B$185=1),$V$244,HLOOKUP(INDIRECT(ADDRESS(2,COLUMN())),OFFSET($BN$2,0,0,ROW()-1,60),ROW()-1,FALSE))</f>
        <v>1207</v>
      </c>
      <c r="W42">
        <f ca="1">IF(AND(ISNUMBER($W$244),$B$185=1),$W$244,HLOOKUP(INDIRECT(ADDRESS(2,COLUMN())),OFFSET($BN$2,0,0,ROW()-1,60),ROW()-1,FALSE))</f>
        <v>1590</v>
      </c>
      <c r="X42">
        <f ca="1">IF(AND(ISNUMBER($X$244),$B$185=1),$X$244,HLOOKUP(INDIRECT(ADDRESS(2,COLUMN())),OFFSET($BN$2,0,0,ROW()-1,60),ROW()-1,FALSE))</f>
        <v>317</v>
      </c>
      <c r="Y42">
        <f ca="1">IF(AND(ISNUMBER($Y$244),$B$185=1),$Y$244,HLOOKUP(INDIRECT(ADDRESS(2,COLUMN())),OFFSET($BN$2,0,0,ROW()-1,60),ROW()-1,FALSE))</f>
        <v>379</v>
      </c>
      <c r="Z42">
        <f ca="1">IF(AND(ISNUMBER($Z$244),$B$185=1),$Z$244,HLOOKUP(INDIRECT(ADDRESS(2,COLUMN())),OFFSET($BN$2,0,0,ROW()-1,60),ROW()-1,FALSE))</f>
        <v>783</v>
      </c>
      <c r="AA42">
        <f ca="1">IF(AND(ISNUMBER($AA$244),$B$185=1),$AA$244,HLOOKUP(INDIRECT(ADDRESS(2,COLUMN())),OFFSET($BN$2,0,0,ROW()-1,60),ROW()-1,FALSE))</f>
        <v>466</v>
      </c>
      <c r="AB42">
        <f ca="1">IF(AND(ISNUMBER($AB$244),$B$185=1),$AB$244,HLOOKUP(INDIRECT(ADDRESS(2,COLUMN())),OFFSET($BN$2,0,0,ROW()-1,60),ROW()-1,FALSE))</f>
        <v>758</v>
      </c>
      <c r="AC42">
        <f ca="1">IF(AND(ISNUMBER($AC$244),$B$185=1),$AC$244,HLOOKUP(INDIRECT(ADDRESS(2,COLUMN())),OFFSET($BN$2,0,0,ROW()-1,60),ROW()-1,FALSE))</f>
        <v>708</v>
      </c>
      <c r="AD42">
        <f ca="1">IF(AND(ISNUMBER($AD$244),$B$185=1),$AD$244,HLOOKUP(INDIRECT(ADDRESS(2,COLUMN())),OFFSET($BN$2,0,0,ROW()-1,60),ROW()-1,FALSE))</f>
        <v>467</v>
      </c>
      <c r="AE42">
        <f ca="1">IF(AND(ISNUMBER($AE$244),$B$185=1),$AE$244,HLOOKUP(INDIRECT(ADDRESS(2,COLUMN())),OFFSET($BN$2,0,0,ROW()-1,60),ROW()-1,FALSE))</f>
        <v>846</v>
      </c>
      <c r="AF42">
        <f ca="1">IF(AND(ISNUMBER($AF$244),$B$185=1),$AF$244,HLOOKUP(INDIRECT(ADDRESS(2,COLUMN())),OFFSET($BN$2,0,0,ROW()-1,60),ROW()-1,FALSE))</f>
        <v>770</v>
      </c>
      <c r="AG42">
        <f ca="1">IF(AND(ISNUMBER($AG$244),$B$185=1),$AG$244,HLOOKUP(INDIRECT(ADDRESS(2,COLUMN())),OFFSET($BN$2,0,0,ROW()-1,60),ROW()-1,FALSE))</f>
        <v>934</v>
      </c>
      <c r="AH42">
        <f ca="1">IF(AND(ISNUMBER($AH$244),$B$185=1),$AH$244,HLOOKUP(INDIRECT(ADDRESS(2,COLUMN())),OFFSET($BN$2,0,0,ROW()-1,60),ROW()-1,FALSE))</f>
        <v>928</v>
      </c>
      <c r="AI42">
        <f ca="1">IF(AND(ISNUMBER($AI$244),$B$185=1),$AI$244,HLOOKUP(INDIRECT(ADDRESS(2,COLUMN())),OFFSET($BN$2,0,0,ROW()-1,60),ROW()-1,FALSE))</f>
        <v>1046</v>
      </c>
      <c r="AJ42">
        <f ca="1">IF(AND(ISNUMBER($AJ$244),$B$185=1),$AJ$244,HLOOKUP(INDIRECT(ADDRESS(2,COLUMN())),OFFSET($BN$2,0,0,ROW()-1,60),ROW()-1,FALSE))</f>
        <v>1148</v>
      </c>
      <c r="AK42">
        <f ca="1">IF(AND(ISNUMBER($AK$244),$B$185=1),$AK$244,HLOOKUP(INDIRECT(ADDRESS(2,COLUMN())),OFFSET($BN$2,0,0,ROW()-1,60),ROW()-1,FALSE))</f>
        <v>1228</v>
      </c>
      <c r="AL42">
        <f ca="1">IF(AND(ISNUMBER($AL$244),$B$185=1),$AL$244,HLOOKUP(INDIRECT(ADDRESS(2,COLUMN())),OFFSET($BN$2,0,0,ROW()-1,60),ROW()-1,FALSE))</f>
        <v>1417</v>
      </c>
      <c r="AM42">
        <f ca="1">IF(AND(ISNUMBER($AM$244),$B$185=1),$AM$244,HLOOKUP(INDIRECT(ADDRESS(2,COLUMN())),OFFSET($BN$2,0,0,ROW()-1,60),ROW()-1,FALSE))</f>
        <v>1667</v>
      </c>
      <c r="AN42">
        <f ca="1">IF(AND(ISNUMBER($AN$244),$B$185=1),$AN$244,HLOOKUP(INDIRECT(ADDRESS(2,COLUMN())),OFFSET($BN$2,0,0,ROW()-1,60),ROW()-1,FALSE))</f>
        <v>1414</v>
      </c>
      <c r="AO42">
        <f ca="1">IF(AND(ISNUMBER($AO$244),$B$185=1),$AO$244,HLOOKUP(INDIRECT(ADDRESS(2,COLUMN())),OFFSET($BN$2,0,0,ROW()-1,60),ROW()-1,FALSE))</f>
        <v>1598</v>
      </c>
      <c r="AP42">
        <f ca="1">IF(AND(ISNUMBER($AP$244),$B$185=1),$AP$244,HLOOKUP(INDIRECT(ADDRESS(2,COLUMN())),OFFSET($BN$2,0,0,ROW()-1,60),ROW()-1,FALSE))</f>
        <v>1660</v>
      </c>
      <c r="AQ42">
        <f ca="1">IF(AND(ISNUMBER($AQ$244),$B$185=1),$AQ$244,HLOOKUP(INDIRECT(ADDRESS(2,COLUMN())),OFFSET($BN$2,0,0,ROW()-1,60),ROW()-1,FALSE))</f>
        <v>1589</v>
      </c>
      <c r="AR42">
        <f ca="1">IF(AND(ISNUMBER($AR$244),$B$185=1),$AR$244,HLOOKUP(INDIRECT(ADDRESS(2,COLUMN())),OFFSET($BN$2,0,0,ROW()-1,60),ROW()-1,FALSE))</f>
        <v>1705</v>
      </c>
      <c r="AS42">
        <f ca="1">IF(AND(ISNUMBER($AS$244),$B$185=1),$AS$244,HLOOKUP(INDIRECT(ADDRESS(2,COLUMN())),OFFSET($BN$2,0,0,ROW()-1,60),ROW()-1,FALSE))</f>
        <v>1547</v>
      </c>
      <c r="AT42">
        <f ca="1">IF(AND(ISNUMBER($AT$244),$B$185=1),$AT$244,HLOOKUP(INDIRECT(ADDRESS(2,COLUMN())),OFFSET($BN$2,0,0,ROW()-1,60),ROW()-1,FALSE))</f>
        <v>1515</v>
      </c>
      <c r="AU42">
        <f ca="1">IF(AND(ISNUMBER($AU$244),$B$185=1),$AU$244,HLOOKUP(INDIRECT(ADDRESS(2,COLUMN())),OFFSET($BN$2,0,0,ROW()-1,60),ROW()-1,FALSE))</f>
        <v>1633</v>
      </c>
      <c r="AV42">
        <f ca="1">IF(AND(ISNUMBER($AV$244),$B$185=1),$AV$244,HLOOKUP(INDIRECT(ADDRESS(2,COLUMN())),OFFSET($BN$2,0,0,ROW()-1,60),ROW()-1,FALSE))</f>
        <v>1723</v>
      </c>
      <c r="AW42">
        <f ca="1">IF(AND(ISNUMBER($AW$244),$B$185=1),$AW$244,HLOOKUP(INDIRECT(ADDRESS(2,COLUMN())),OFFSET($BN$2,0,0,ROW()-1,60),ROW()-1,FALSE))</f>
        <v>1510</v>
      </c>
      <c r="AX42">
        <f ca="1">IF(AND(ISNUMBER($AX$244),$B$185=1),$AX$244,HLOOKUP(INDIRECT(ADDRESS(2,COLUMN())),OFFSET($BN$2,0,0,ROW()-1,60),ROW()-1,FALSE))</f>
        <v>1570</v>
      </c>
      <c r="AY42">
        <f ca="1">IF(AND(ISNUMBER($AY$244),$B$185=1),$AY$244,HLOOKUP(INDIRECT(ADDRESS(2,COLUMN())),OFFSET($BN$2,0,0,ROW()-1,60),ROW()-1,FALSE))</f>
        <v>1608</v>
      </c>
      <c r="AZ42">
        <f ca="1">IF(AND(ISNUMBER($AZ$244),$B$185=1),$AZ$244,HLOOKUP(INDIRECT(ADDRESS(2,COLUMN())),OFFSET($BN$2,0,0,ROW()-1,60),ROW()-1,FALSE))</f>
        <v>2802</v>
      </c>
      <c r="BA42">
        <f ca="1">IF(AND(ISNUMBER($BA$244),$B$185=1),$BA$244,HLOOKUP(INDIRECT(ADDRESS(2,COLUMN())),OFFSET($BN$2,0,0,ROW()-1,60),ROW()-1,FALSE))</f>
        <v>2794</v>
      </c>
      <c r="BB42">
        <f ca="1">IF(AND(ISNUMBER($BB$244),$B$185=1),$BB$244,HLOOKUP(INDIRECT(ADDRESS(2,COLUMN())),OFFSET($BN$2,0,0,ROW()-1,60),ROW()-1,FALSE))</f>
        <v>3068</v>
      </c>
      <c r="BC42">
        <f ca="1">IF(AND(ISNUMBER($BC$244),$B$185=1),$BC$244,HLOOKUP(INDIRECT(ADDRESS(2,COLUMN())),OFFSET($BN$2,0,0,ROW()-1,60),ROW()-1,FALSE))</f>
        <v>2807</v>
      </c>
      <c r="BD42">
        <f ca="1">IF(AND(ISNUMBER($BD$244),$B$185=1),$BD$244,HLOOKUP(INDIRECT(ADDRESS(2,COLUMN())),OFFSET($BN$2,0,0,ROW()-1,60),ROW()-1,FALSE))</f>
        <v>2893</v>
      </c>
      <c r="BE42">
        <f ca="1">IF(AND(ISNUMBER($BE$244),$B$185=1),$BE$244,HLOOKUP(INDIRECT(ADDRESS(2,COLUMN())),OFFSET($BN$2,0,0,ROW()-1,60),ROW()-1,FALSE))</f>
        <v>2870</v>
      </c>
      <c r="BF42">
        <f ca="1">IF(AND(ISNUMBER($BF$244),$B$185=1),$BF$244,HLOOKUP(INDIRECT(ADDRESS(2,COLUMN())),OFFSET($BN$2,0,0,ROW()-1,60),ROW()-1,FALSE))</f>
        <v>2364</v>
      </c>
      <c r="BG42">
        <f ca="1">IF(AND(ISNUMBER($BG$244),$B$185=1),$BG$244,HLOOKUP(INDIRECT(ADDRESS(2,COLUMN())),OFFSET($BN$2,0,0,ROW()-1,60),ROW()-1,FALSE))</f>
        <v>1833</v>
      </c>
      <c r="BH42">
        <f ca="1">IF(AND(ISNUMBER($BH$244),$B$185=1),$BH$244,HLOOKUP(INDIRECT(ADDRESS(2,COLUMN())),OFFSET($BN$2,0,0,ROW()-1,60),ROW()-1,FALSE))</f>
        <v>1619</v>
      </c>
      <c r="BI42">
        <f ca="1">IF(AND(ISNUMBER($BI$244),$B$185=1),$BI$244,HLOOKUP(INDIRECT(ADDRESS(2,COLUMN())),OFFSET($BN$2,0,0,ROW()-1,60),ROW()-1,FALSE))</f>
        <v>2016</v>
      </c>
      <c r="BJ42">
        <f ca="1">IF(AND(ISNUMBER($BJ$244),$B$185=1),$BJ$244,HLOOKUP(INDIRECT(ADDRESS(2,COLUMN())),OFFSET($BN$2,0,0,ROW()-1,60),ROW()-1,FALSE))</f>
        <v>2757</v>
      </c>
      <c r="BK42">
        <f ca="1">IF(AND(ISNUMBER($BK$244),$B$185=1),$BK$244,HLOOKUP(INDIRECT(ADDRESS(2,COLUMN())),OFFSET($BN$2,0,0,ROW()-1,60),ROW()-1,FALSE))</f>
        <v>2499</v>
      </c>
      <c r="BL42">
        <f ca="1">IF(AND(ISNUMBER($BL$244),$B$185=1),$BL$244,HLOOKUP(INDIRECT(ADDRESS(2,COLUMN())),OFFSET($BN$2,0,0,ROW()-1,60),ROW()-1,FALSE))</f>
        <v>2011</v>
      </c>
      <c r="BM42" t="str">
        <f ca="1">IF(AND(ISNUMBER($BM$244),$B$185=1),$BM$244,HLOOKUP(INDIRECT(ADDRESS(2,COLUMN())),OFFSET($BN$2,0,0,ROW()-1,60),ROW()-1,FALSE))</f>
        <v/>
      </c>
      <c r="BN42">
        <f>294</f>
        <v>294</v>
      </c>
      <c r="BO42">
        <f>280</f>
        <v>280</v>
      </c>
      <c r="BP42">
        <f>243</f>
        <v>243</v>
      </c>
      <c r="BQ42">
        <f>230</f>
        <v>230</v>
      </c>
      <c r="BR42">
        <f>202</f>
        <v>202</v>
      </c>
      <c r="BS42">
        <f>193</f>
        <v>193</v>
      </c>
      <c r="BT42">
        <f>202</f>
        <v>202</v>
      </c>
      <c r="BU42">
        <f>232</f>
        <v>232</v>
      </c>
      <c r="BV42">
        <f>79</f>
        <v>79</v>
      </c>
      <c r="BW42">
        <f>324</f>
        <v>324</v>
      </c>
      <c r="BX42">
        <f>287</f>
        <v>287</v>
      </c>
      <c r="BY42">
        <f>693</f>
        <v>693</v>
      </c>
      <c r="BZ42">
        <f>1035</f>
        <v>1035</v>
      </c>
      <c r="CA42">
        <f>1259</f>
        <v>1259</v>
      </c>
      <c r="CB42">
        <f>1336</f>
        <v>1336</v>
      </c>
      <c r="CC42">
        <f>1326</f>
        <v>1326</v>
      </c>
      <c r="CD42">
        <f>1207</f>
        <v>1207</v>
      </c>
      <c r="CE42">
        <f>1590</f>
        <v>1590</v>
      </c>
      <c r="CF42">
        <f>317</f>
        <v>317</v>
      </c>
      <c r="CG42">
        <f>379</f>
        <v>379</v>
      </c>
      <c r="CH42">
        <f>783</f>
        <v>783</v>
      </c>
      <c r="CI42">
        <f>466</f>
        <v>466</v>
      </c>
      <c r="CJ42">
        <f>758</f>
        <v>758</v>
      </c>
      <c r="CK42">
        <f>708</f>
        <v>708</v>
      </c>
      <c r="CL42">
        <f>467</f>
        <v>467</v>
      </c>
      <c r="CM42">
        <f>846</f>
        <v>846</v>
      </c>
      <c r="CN42">
        <f>770</f>
        <v>770</v>
      </c>
      <c r="CO42">
        <f>934</f>
        <v>934</v>
      </c>
      <c r="CP42">
        <f>928</f>
        <v>928</v>
      </c>
      <c r="CQ42">
        <f>1046</f>
        <v>1046</v>
      </c>
      <c r="CR42">
        <f>1148</f>
        <v>1148</v>
      </c>
      <c r="CS42">
        <f>1228</f>
        <v>1228</v>
      </c>
      <c r="CT42">
        <f>1417</f>
        <v>1417</v>
      </c>
      <c r="CU42">
        <f>1667</f>
        <v>1667</v>
      </c>
      <c r="CV42">
        <f>1414</f>
        <v>1414</v>
      </c>
      <c r="CW42">
        <f>1598</f>
        <v>1598</v>
      </c>
      <c r="CX42">
        <f>1660</f>
        <v>1660</v>
      </c>
      <c r="CY42">
        <f>1589</f>
        <v>1589</v>
      </c>
      <c r="CZ42">
        <f>1705</f>
        <v>1705</v>
      </c>
      <c r="DA42">
        <f>1547</f>
        <v>1547</v>
      </c>
      <c r="DB42">
        <f>1515</f>
        <v>1515</v>
      </c>
      <c r="DC42">
        <f>1633</f>
        <v>1633</v>
      </c>
      <c r="DD42">
        <f>1723</f>
        <v>1723</v>
      </c>
      <c r="DE42">
        <f>1510</f>
        <v>1510</v>
      </c>
      <c r="DF42">
        <f>1570</f>
        <v>1570</v>
      </c>
      <c r="DG42">
        <f>1608</f>
        <v>1608</v>
      </c>
      <c r="DH42">
        <f>2802</f>
        <v>2802</v>
      </c>
      <c r="DI42">
        <f>2794</f>
        <v>2794</v>
      </c>
      <c r="DJ42">
        <f>3068</f>
        <v>3068</v>
      </c>
      <c r="DK42">
        <f>2807</f>
        <v>2807</v>
      </c>
      <c r="DL42">
        <f>2893</f>
        <v>2893</v>
      </c>
      <c r="DM42">
        <f>2870</f>
        <v>2870</v>
      </c>
      <c r="DN42">
        <f>2364</f>
        <v>2364</v>
      </c>
      <c r="DO42">
        <f>1833</f>
        <v>1833</v>
      </c>
      <c r="DP42">
        <f>1619</f>
        <v>1619</v>
      </c>
      <c r="DQ42">
        <f>2016</f>
        <v>2016</v>
      </c>
      <c r="DR42">
        <f>2757</f>
        <v>2757</v>
      </c>
      <c r="DS42">
        <f>2499</f>
        <v>2499</v>
      </c>
      <c r="DT42">
        <f>2011</f>
        <v>2011</v>
      </c>
      <c r="DU42" t="str">
        <f>""</f>
        <v/>
      </c>
    </row>
    <row r="43" spans="1:125">
      <c r="A43" t="str">
        <f>"    Western Alliance Bancorp"</f>
        <v xml:space="preserve">    Western Alliance Bancorp</v>
      </c>
      <c r="B43" t="str">
        <f>"WAL US Equity"</f>
        <v>WAL US Equity</v>
      </c>
      <c r="C43" t="str">
        <f t="shared" si="1"/>
        <v>A0621</v>
      </c>
      <c r="D43" t="str">
        <f t="shared" si="2"/>
        <v>ARD_MORTGAGE_BANKING_REVENUE</v>
      </c>
      <c r="E43" t="str">
        <f t="shared" si="3"/>
        <v>Dynamic</v>
      </c>
      <c r="F43" t="str">
        <f ca="1">IF(AND(ISNUMBER($F$245),$B$185=1),$F$245,HLOOKUP(INDIRECT(ADDRESS(2,COLUMN())),OFFSET($BN$2,0,0,ROW()-1,60),ROW()-1,FALSE))</f>
        <v/>
      </c>
      <c r="G43" t="str">
        <f ca="1">IF(AND(ISNUMBER($G$245),$B$185=1),$G$245,HLOOKUP(INDIRECT(ADDRESS(2,COLUMN())),OFFSET($BN$2,0,0,ROW()-1,60),ROW()-1,FALSE))</f>
        <v/>
      </c>
      <c r="H43" t="str">
        <f ca="1">IF(AND(ISNUMBER($H$245),$B$185=1),$H$245,HLOOKUP(INDIRECT(ADDRESS(2,COLUMN())),OFFSET($BN$2,0,0,ROW()-1,60),ROW()-1,FALSE))</f>
        <v/>
      </c>
      <c r="I43" t="str">
        <f ca="1">IF(AND(ISNUMBER($I$245),$B$185=1),$I$245,HLOOKUP(INDIRECT(ADDRESS(2,COLUMN())),OFFSET($BN$2,0,0,ROW()-1,60),ROW()-1,FALSE))</f>
        <v/>
      </c>
      <c r="J43" t="str">
        <f ca="1">IF(AND(ISNUMBER($J$245),$B$185=1),$J$245,HLOOKUP(INDIRECT(ADDRESS(2,COLUMN())),OFFSET($BN$2,0,0,ROW()-1,60),ROW()-1,FALSE))</f>
        <v/>
      </c>
      <c r="K43" t="str">
        <f ca="1">IF(AND(ISNUMBER($K$245),$B$185=1),$K$245,HLOOKUP(INDIRECT(ADDRESS(2,COLUMN())),OFFSET($BN$2,0,0,ROW()-1,60),ROW()-1,FALSE))</f>
        <v/>
      </c>
      <c r="L43" t="str">
        <f ca="1">IF(AND(ISNUMBER($L$245),$B$185=1),$L$245,HLOOKUP(INDIRECT(ADDRESS(2,COLUMN())),OFFSET($BN$2,0,0,ROW()-1,60),ROW()-1,FALSE))</f>
        <v/>
      </c>
      <c r="M43" t="str">
        <f ca="1">IF(AND(ISNUMBER($M$245),$B$185=1),$M$245,HLOOKUP(INDIRECT(ADDRESS(2,COLUMN())),OFFSET($BN$2,0,0,ROW()-1,60),ROW()-1,FALSE))</f>
        <v/>
      </c>
      <c r="N43" t="str">
        <f ca="1">IF(AND(ISNUMBER($N$245),$B$185=1),$N$245,HLOOKUP(INDIRECT(ADDRESS(2,COLUMN())),OFFSET($BN$2,0,0,ROW()-1,60),ROW()-1,FALSE))</f>
        <v/>
      </c>
      <c r="O43" t="str">
        <f ca="1">IF(AND(ISNUMBER($O$245),$B$185=1),$O$245,HLOOKUP(INDIRECT(ADDRESS(2,COLUMN())),OFFSET($BN$2,0,0,ROW()-1,60),ROW()-1,FALSE))</f>
        <v/>
      </c>
      <c r="P43" t="str">
        <f ca="1">IF(AND(ISNUMBER($P$245),$B$185=1),$P$245,HLOOKUP(INDIRECT(ADDRESS(2,COLUMN())),OFFSET($BN$2,0,0,ROW()-1,60),ROW()-1,FALSE))</f>
        <v/>
      </c>
      <c r="Q43" t="str">
        <f ca="1">IF(AND(ISNUMBER($Q$245),$B$185=1),$Q$245,HLOOKUP(INDIRECT(ADDRESS(2,COLUMN())),OFFSET($BN$2,0,0,ROW()-1,60),ROW()-1,FALSE))</f>
        <v/>
      </c>
      <c r="R43" t="str">
        <f ca="1">IF(AND(ISNUMBER($R$245),$B$185=1),$R$245,HLOOKUP(INDIRECT(ADDRESS(2,COLUMN())),OFFSET($BN$2,0,0,ROW()-1,60),ROW()-1,FALSE))</f>
        <v/>
      </c>
      <c r="S43" t="str">
        <f ca="1">IF(AND(ISNUMBER($S$245),$B$185=1),$S$245,HLOOKUP(INDIRECT(ADDRESS(2,COLUMN())),OFFSET($BN$2,0,0,ROW()-1,60),ROW()-1,FALSE))</f>
        <v/>
      </c>
      <c r="T43" t="str">
        <f ca="1">IF(AND(ISNUMBER($T$245),$B$185=1),$T$245,HLOOKUP(INDIRECT(ADDRESS(2,COLUMN())),OFFSET($BN$2,0,0,ROW()-1,60),ROW()-1,FALSE))</f>
        <v/>
      </c>
      <c r="U43" t="str">
        <f ca="1">IF(AND(ISNUMBER($U$245),$B$185=1),$U$245,HLOOKUP(INDIRECT(ADDRESS(2,COLUMN())),OFFSET($BN$2,0,0,ROW()-1,60),ROW()-1,FALSE))</f>
        <v/>
      </c>
      <c r="V43" t="str">
        <f ca="1">IF(AND(ISNUMBER($V$245),$B$185=1),$V$245,HLOOKUP(INDIRECT(ADDRESS(2,COLUMN())),OFFSET($BN$2,0,0,ROW()-1,60),ROW()-1,FALSE))</f>
        <v/>
      </c>
      <c r="W43" t="str">
        <f ca="1">IF(AND(ISNUMBER($W$245),$B$185=1),$W$245,HLOOKUP(INDIRECT(ADDRESS(2,COLUMN())),OFFSET($BN$2,0,0,ROW()-1,60),ROW()-1,FALSE))</f>
        <v/>
      </c>
      <c r="X43" t="str">
        <f ca="1">IF(AND(ISNUMBER($X$245),$B$185=1),$X$245,HLOOKUP(INDIRECT(ADDRESS(2,COLUMN())),OFFSET($BN$2,0,0,ROW()-1,60),ROW()-1,FALSE))</f>
        <v/>
      </c>
      <c r="Y43" t="str">
        <f ca="1">IF(AND(ISNUMBER($Y$245),$B$185=1),$Y$245,HLOOKUP(INDIRECT(ADDRESS(2,COLUMN())),OFFSET($BN$2,0,0,ROW()-1,60),ROW()-1,FALSE))</f>
        <v/>
      </c>
      <c r="Z43" t="str">
        <f ca="1">IF(AND(ISNUMBER($Z$245),$B$185=1),$Z$245,HLOOKUP(INDIRECT(ADDRESS(2,COLUMN())),OFFSET($BN$2,0,0,ROW()-1,60),ROW()-1,FALSE))</f>
        <v/>
      </c>
      <c r="AA43" t="str">
        <f ca="1">IF(AND(ISNUMBER($AA$245),$B$185=1),$AA$245,HLOOKUP(INDIRECT(ADDRESS(2,COLUMN())),OFFSET($BN$2,0,0,ROW()-1,60),ROW()-1,FALSE))</f>
        <v/>
      </c>
      <c r="AB43" t="str">
        <f ca="1">IF(AND(ISNUMBER($AB$245),$B$185=1),$AB$245,HLOOKUP(INDIRECT(ADDRESS(2,COLUMN())),OFFSET($BN$2,0,0,ROW()-1,60),ROW()-1,FALSE))</f>
        <v/>
      </c>
      <c r="AC43" t="str">
        <f ca="1">IF(AND(ISNUMBER($AC$245),$B$185=1),$AC$245,HLOOKUP(INDIRECT(ADDRESS(2,COLUMN())),OFFSET($BN$2,0,0,ROW()-1,60),ROW()-1,FALSE))</f>
        <v/>
      </c>
      <c r="AD43" t="str">
        <f ca="1">IF(AND(ISNUMBER($AD$245),$B$185=1),$AD$245,HLOOKUP(INDIRECT(ADDRESS(2,COLUMN())),OFFSET($BN$2,0,0,ROW()-1,60),ROW()-1,FALSE))</f>
        <v/>
      </c>
      <c r="AE43" t="str">
        <f ca="1">IF(AND(ISNUMBER($AE$245),$B$185=1),$AE$245,HLOOKUP(INDIRECT(ADDRESS(2,COLUMN())),OFFSET($BN$2,0,0,ROW()-1,60),ROW()-1,FALSE))</f>
        <v/>
      </c>
      <c r="AF43" t="str">
        <f ca="1">IF(AND(ISNUMBER($AF$245),$B$185=1),$AF$245,HLOOKUP(INDIRECT(ADDRESS(2,COLUMN())),OFFSET($BN$2,0,0,ROW()-1,60),ROW()-1,FALSE))</f>
        <v/>
      </c>
      <c r="AG43" t="str">
        <f ca="1">IF(AND(ISNUMBER($AG$245),$B$185=1),$AG$245,HLOOKUP(INDIRECT(ADDRESS(2,COLUMN())),OFFSET($BN$2,0,0,ROW()-1,60),ROW()-1,FALSE))</f>
        <v/>
      </c>
      <c r="AH43" t="str">
        <f ca="1">IF(AND(ISNUMBER($AH$245),$B$185=1),$AH$245,HLOOKUP(INDIRECT(ADDRESS(2,COLUMN())),OFFSET($BN$2,0,0,ROW()-1,60),ROW()-1,FALSE))</f>
        <v/>
      </c>
      <c r="AI43" t="str">
        <f ca="1">IF(AND(ISNUMBER($AI$245),$B$185=1),$AI$245,HLOOKUP(INDIRECT(ADDRESS(2,COLUMN())),OFFSET($BN$2,0,0,ROW()-1,60),ROW()-1,FALSE))</f>
        <v/>
      </c>
      <c r="AJ43" t="str">
        <f ca="1">IF(AND(ISNUMBER($AJ$245),$B$185=1),$AJ$245,HLOOKUP(INDIRECT(ADDRESS(2,COLUMN())),OFFSET($BN$2,0,0,ROW()-1,60),ROW()-1,FALSE))</f>
        <v/>
      </c>
      <c r="AK43" t="str">
        <f ca="1">IF(AND(ISNUMBER($AK$245),$B$185=1),$AK$245,HLOOKUP(INDIRECT(ADDRESS(2,COLUMN())),OFFSET($BN$2,0,0,ROW()-1,60),ROW()-1,FALSE))</f>
        <v/>
      </c>
      <c r="AL43" t="str">
        <f ca="1">IF(AND(ISNUMBER($AL$245),$B$185=1),$AL$245,HLOOKUP(INDIRECT(ADDRESS(2,COLUMN())),OFFSET($BN$2,0,0,ROW()-1,60),ROW()-1,FALSE))</f>
        <v/>
      </c>
      <c r="AM43" t="str">
        <f ca="1">IF(AND(ISNUMBER($AM$245),$B$185=1),$AM$245,HLOOKUP(INDIRECT(ADDRESS(2,COLUMN())),OFFSET($BN$2,0,0,ROW()-1,60),ROW()-1,FALSE))</f>
        <v/>
      </c>
      <c r="AN43" t="str">
        <f ca="1">IF(AND(ISNUMBER($AN$245),$B$185=1),$AN$245,HLOOKUP(INDIRECT(ADDRESS(2,COLUMN())),OFFSET($BN$2,0,0,ROW()-1,60),ROW()-1,FALSE))</f>
        <v/>
      </c>
      <c r="AO43" t="str">
        <f ca="1">IF(AND(ISNUMBER($AO$245),$B$185=1),$AO$245,HLOOKUP(INDIRECT(ADDRESS(2,COLUMN())),OFFSET($BN$2,0,0,ROW()-1,60),ROW()-1,FALSE))</f>
        <v/>
      </c>
      <c r="AP43" t="str">
        <f ca="1">IF(AND(ISNUMBER($AP$245),$B$185=1),$AP$245,HLOOKUP(INDIRECT(ADDRESS(2,COLUMN())),OFFSET($BN$2,0,0,ROW()-1,60),ROW()-1,FALSE))</f>
        <v/>
      </c>
      <c r="AQ43" t="str">
        <f ca="1">IF(AND(ISNUMBER($AQ$245),$B$185=1),$AQ$245,HLOOKUP(INDIRECT(ADDRESS(2,COLUMN())),OFFSET($BN$2,0,0,ROW()-1,60),ROW()-1,FALSE))</f>
        <v/>
      </c>
      <c r="AR43" t="str">
        <f ca="1">IF(AND(ISNUMBER($AR$245),$B$185=1),$AR$245,HLOOKUP(INDIRECT(ADDRESS(2,COLUMN())),OFFSET($BN$2,0,0,ROW()-1,60),ROW()-1,FALSE))</f>
        <v/>
      </c>
      <c r="AS43" t="str">
        <f ca="1">IF(AND(ISNUMBER($AS$245),$B$185=1),$AS$245,HLOOKUP(INDIRECT(ADDRESS(2,COLUMN())),OFFSET($BN$2,0,0,ROW()-1,60),ROW()-1,FALSE))</f>
        <v/>
      </c>
      <c r="AT43" t="str">
        <f ca="1">IF(AND(ISNUMBER($AT$245),$B$185=1),$AT$245,HLOOKUP(INDIRECT(ADDRESS(2,COLUMN())),OFFSET($BN$2,0,0,ROW()-1,60),ROW()-1,FALSE))</f>
        <v/>
      </c>
      <c r="AU43" t="str">
        <f ca="1">IF(AND(ISNUMBER($AU$245),$B$185=1),$AU$245,HLOOKUP(INDIRECT(ADDRESS(2,COLUMN())),OFFSET($BN$2,0,0,ROW()-1,60),ROW()-1,FALSE))</f>
        <v/>
      </c>
      <c r="AV43" t="str">
        <f ca="1">IF(AND(ISNUMBER($AV$245),$B$185=1),$AV$245,HLOOKUP(INDIRECT(ADDRESS(2,COLUMN())),OFFSET($BN$2,0,0,ROW()-1,60),ROW()-1,FALSE))</f>
        <v/>
      </c>
      <c r="AW43" t="str">
        <f ca="1">IF(AND(ISNUMBER($AW$245),$B$185=1),$AW$245,HLOOKUP(INDIRECT(ADDRESS(2,COLUMN())),OFFSET($BN$2,0,0,ROW()-1,60),ROW()-1,FALSE))</f>
        <v/>
      </c>
      <c r="AX43" t="str">
        <f ca="1">IF(AND(ISNUMBER($AX$245),$B$185=1),$AX$245,HLOOKUP(INDIRECT(ADDRESS(2,COLUMN())),OFFSET($BN$2,0,0,ROW()-1,60),ROW()-1,FALSE))</f>
        <v/>
      </c>
      <c r="AY43" t="str">
        <f ca="1">IF(AND(ISNUMBER($AY$245),$B$185=1),$AY$245,HLOOKUP(INDIRECT(ADDRESS(2,COLUMN())),OFFSET($BN$2,0,0,ROW()-1,60),ROW()-1,FALSE))</f>
        <v/>
      </c>
      <c r="AZ43" t="str">
        <f ca="1">IF(AND(ISNUMBER($AZ$245),$B$185=1),$AZ$245,HLOOKUP(INDIRECT(ADDRESS(2,COLUMN())),OFFSET($BN$2,0,0,ROW()-1,60),ROW()-1,FALSE))</f>
        <v/>
      </c>
      <c r="BA43" t="str">
        <f ca="1">IF(AND(ISNUMBER($BA$245),$B$185=1),$BA$245,HLOOKUP(INDIRECT(ADDRESS(2,COLUMN())),OFFSET($BN$2,0,0,ROW()-1,60),ROW()-1,FALSE))</f>
        <v/>
      </c>
      <c r="BB43" t="str">
        <f ca="1">IF(AND(ISNUMBER($BB$245),$B$185=1),$BB$245,HLOOKUP(INDIRECT(ADDRESS(2,COLUMN())),OFFSET($BN$2,0,0,ROW()-1,60),ROW()-1,FALSE))</f>
        <v/>
      </c>
      <c r="BC43" t="str">
        <f ca="1">IF(AND(ISNUMBER($BC$245),$B$185=1),$BC$245,HLOOKUP(INDIRECT(ADDRESS(2,COLUMN())),OFFSET($BN$2,0,0,ROW()-1,60),ROW()-1,FALSE))</f>
        <v/>
      </c>
      <c r="BD43" t="str">
        <f ca="1">IF(AND(ISNUMBER($BD$245),$B$185=1),$BD$245,HLOOKUP(INDIRECT(ADDRESS(2,COLUMN())),OFFSET($BN$2,0,0,ROW()-1,60),ROW()-1,FALSE))</f>
        <v/>
      </c>
      <c r="BE43" t="str">
        <f ca="1">IF(AND(ISNUMBER($BE$245),$B$185=1),$BE$245,HLOOKUP(INDIRECT(ADDRESS(2,COLUMN())),OFFSET($BN$2,0,0,ROW()-1,60),ROW()-1,FALSE))</f>
        <v/>
      </c>
      <c r="BF43" t="str">
        <f ca="1">IF(AND(ISNUMBER($BF$245),$B$185=1),$BF$245,HLOOKUP(INDIRECT(ADDRESS(2,COLUMN())),OFFSET($BN$2,0,0,ROW()-1,60),ROW()-1,FALSE))</f>
        <v/>
      </c>
      <c r="BG43" t="str">
        <f ca="1">IF(AND(ISNUMBER($BG$245),$B$185=1),$BG$245,HLOOKUP(INDIRECT(ADDRESS(2,COLUMN())),OFFSET($BN$2,0,0,ROW()-1,60),ROW()-1,FALSE))</f>
        <v/>
      </c>
      <c r="BH43" t="str">
        <f ca="1">IF(AND(ISNUMBER($BH$245),$B$185=1),$BH$245,HLOOKUP(INDIRECT(ADDRESS(2,COLUMN())),OFFSET($BN$2,0,0,ROW()-1,60),ROW()-1,FALSE))</f>
        <v/>
      </c>
      <c r="BI43" t="str">
        <f ca="1">IF(AND(ISNUMBER($BI$245),$B$185=1),$BI$245,HLOOKUP(INDIRECT(ADDRESS(2,COLUMN())),OFFSET($BN$2,0,0,ROW()-1,60),ROW()-1,FALSE))</f>
        <v/>
      </c>
      <c r="BJ43" t="str">
        <f ca="1">IF(AND(ISNUMBER($BJ$245),$B$185=1),$BJ$245,HLOOKUP(INDIRECT(ADDRESS(2,COLUMN())),OFFSET($BN$2,0,0,ROW()-1,60),ROW()-1,FALSE))</f>
        <v/>
      </c>
      <c r="BK43" t="str">
        <f ca="1">IF(AND(ISNUMBER($BK$245),$B$185=1),$BK$245,HLOOKUP(INDIRECT(ADDRESS(2,COLUMN())),OFFSET($BN$2,0,0,ROW()-1,60),ROW()-1,FALSE))</f>
        <v/>
      </c>
      <c r="BL43" t="str">
        <f ca="1">IF(AND(ISNUMBER($BL$245),$B$185=1),$BL$245,HLOOKUP(INDIRECT(ADDRESS(2,COLUMN())),OFFSET($BN$2,0,0,ROW()-1,60),ROW()-1,FALSE))</f>
        <v/>
      </c>
      <c r="BM43" t="str">
        <f ca="1">IF(AND(ISNUMBER($BM$245),$B$185=1),$BM$245,HLOOKUP(INDIRECT(ADDRESS(2,COLUMN())),OFFSET($BN$2,0,0,ROW()-1,60),ROW()-1,FALSE))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>
      <c r="A44" t="str">
        <f>"    Zions Bancorp NA"</f>
        <v xml:space="preserve">    Zions Bancorp NA</v>
      </c>
      <c r="B44" t="str">
        <f>"ZION US Equity"</f>
        <v>ZION US Equity</v>
      </c>
      <c r="C44" t="str">
        <f t="shared" si="1"/>
        <v>A0621</v>
      </c>
      <c r="D44" t="str">
        <f t="shared" si="2"/>
        <v>ARD_MORTGAGE_BANKING_REVENUE</v>
      </c>
      <c r="E44" t="str">
        <f t="shared" si="3"/>
        <v>Dynamic</v>
      </c>
      <c r="F44" t="str">
        <f ca="1">IF(AND(ISNUMBER($F$246),$B$185=1),$F$246,HLOOKUP(INDIRECT(ADDRESS(2,COLUMN())),OFFSET($BN$2,0,0,ROW()-1,60),ROW()-1,FALSE))</f>
        <v/>
      </c>
      <c r="G44" t="str">
        <f ca="1">IF(AND(ISNUMBER($G$246),$B$185=1),$G$246,HLOOKUP(INDIRECT(ADDRESS(2,COLUMN())),OFFSET($BN$2,0,0,ROW()-1,60),ROW()-1,FALSE))</f>
        <v/>
      </c>
      <c r="H44" t="str">
        <f ca="1">IF(AND(ISNUMBER($H$246),$B$185=1),$H$246,HLOOKUP(INDIRECT(ADDRESS(2,COLUMN())),OFFSET($BN$2,0,0,ROW()-1,60),ROW()-1,FALSE))</f>
        <v/>
      </c>
      <c r="I44" t="str">
        <f ca="1">IF(AND(ISNUMBER($I$246),$B$185=1),$I$246,HLOOKUP(INDIRECT(ADDRESS(2,COLUMN())),OFFSET($BN$2,0,0,ROW()-1,60),ROW()-1,FALSE))</f>
        <v/>
      </c>
      <c r="J44" t="str">
        <f ca="1">IF(AND(ISNUMBER($J$246),$B$185=1),$J$246,HLOOKUP(INDIRECT(ADDRESS(2,COLUMN())),OFFSET($BN$2,0,0,ROW()-1,60),ROW()-1,FALSE))</f>
        <v/>
      </c>
      <c r="K44" t="str">
        <f ca="1">IF(AND(ISNUMBER($K$246),$B$185=1),$K$246,HLOOKUP(INDIRECT(ADDRESS(2,COLUMN())),OFFSET($BN$2,0,0,ROW()-1,60),ROW()-1,FALSE))</f>
        <v/>
      </c>
      <c r="L44" t="str">
        <f ca="1">IF(AND(ISNUMBER($L$246),$B$185=1),$L$246,HLOOKUP(INDIRECT(ADDRESS(2,COLUMN())),OFFSET($BN$2,0,0,ROW()-1,60),ROW()-1,FALSE))</f>
        <v/>
      </c>
      <c r="M44" t="str">
        <f ca="1">IF(AND(ISNUMBER($M$246),$B$185=1),$M$246,HLOOKUP(INDIRECT(ADDRESS(2,COLUMN())),OFFSET($BN$2,0,0,ROW()-1,60),ROW()-1,FALSE))</f>
        <v/>
      </c>
      <c r="N44" t="str">
        <f ca="1">IF(AND(ISNUMBER($N$246),$B$185=1),$N$246,HLOOKUP(INDIRECT(ADDRESS(2,COLUMN())),OFFSET($BN$2,0,0,ROW()-1,60),ROW()-1,FALSE))</f>
        <v/>
      </c>
      <c r="O44" t="str">
        <f ca="1">IF(AND(ISNUMBER($O$246),$B$185=1),$O$246,HLOOKUP(INDIRECT(ADDRESS(2,COLUMN())),OFFSET($BN$2,0,0,ROW()-1,60),ROW()-1,FALSE))</f>
        <v/>
      </c>
      <c r="P44" t="str">
        <f ca="1">IF(AND(ISNUMBER($P$246),$B$185=1),$P$246,HLOOKUP(INDIRECT(ADDRESS(2,COLUMN())),OFFSET($BN$2,0,0,ROW()-1,60),ROW()-1,FALSE))</f>
        <v/>
      </c>
      <c r="Q44" t="str">
        <f ca="1">IF(AND(ISNUMBER($Q$246),$B$185=1),$Q$246,HLOOKUP(INDIRECT(ADDRESS(2,COLUMN())),OFFSET($BN$2,0,0,ROW()-1,60),ROW()-1,FALSE))</f>
        <v/>
      </c>
      <c r="R44" t="str">
        <f ca="1">IF(AND(ISNUMBER($R$246),$B$185=1),$R$246,HLOOKUP(INDIRECT(ADDRESS(2,COLUMN())),OFFSET($BN$2,0,0,ROW()-1,60),ROW()-1,FALSE))</f>
        <v/>
      </c>
      <c r="S44" t="str">
        <f ca="1">IF(AND(ISNUMBER($S$246),$B$185=1),$S$246,HLOOKUP(INDIRECT(ADDRESS(2,COLUMN())),OFFSET($BN$2,0,0,ROW()-1,60),ROW()-1,FALSE))</f>
        <v/>
      </c>
      <c r="T44" t="str">
        <f ca="1">IF(AND(ISNUMBER($T$246),$B$185=1),$T$246,HLOOKUP(INDIRECT(ADDRESS(2,COLUMN())),OFFSET($BN$2,0,0,ROW()-1,60),ROW()-1,FALSE))</f>
        <v/>
      </c>
      <c r="U44" t="str">
        <f ca="1">IF(AND(ISNUMBER($U$246),$B$185=1),$U$246,HLOOKUP(INDIRECT(ADDRESS(2,COLUMN())),OFFSET($BN$2,0,0,ROW()-1,60),ROW()-1,FALSE))</f>
        <v/>
      </c>
      <c r="V44" t="str">
        <f ca="1">IF(AND(ISNUMBER($V$246),$B$185=1),$V$246,HLOOKUP(INDIRECT(ADDRESS(2,COLUMN())),OFFSET($BN$2,0,0,ROW()-1,60),ROW()-1,FALSE))</f>
        <v/>
      </c>
      <c r="W44" t="str">
        <f ca="1">IF(AND(ISNUMBER($W$246),$B$185=1),$W$246,HLOOKUP(INDIRECT(ADDRESS(2,COLUMN())),OFFSET($BN$2,0,0,ROW()-1,60),ROW()-1,FALSE))</f>
        <v/>
      </c>
      <c r="X44" t="str">
        <f ca="1">IF(AND(ISNUMBER($X$246),$B$185=1),$X$246,HLOOKUP(INDIRECT(ADDRESS(2,COLUMN())),OFFSET($BN$2,0,0,ROW()-1,60),ROW()-1,FALSE))</f>
        <v/>
      </c>
      <c r="Y44" t="str">
        <f ca="1">IF(AND(ISNUMBER($Y$246),$B$185=1),$Y$246,HLOOKUP(INDIRECT(ADDRESS(2,COLUMN())),OFFSET($BN$2,0,0,ROW()-1,60),ROW()-1,FALSE))</f>
        <v/>
      </c>
      <c r="Z44" t="str">
        <f ca="1">IF(AND(ISNUMBER($Z$246),$B$185=1),$Z$246,HLOOKUP(INDIRECT(ADDRESS(2,COLUMN())),OFFSET($BN$2,0,0,ROW()-1,60),ROW()-1,FALSE))</f>
        <v/>
      </c>
      <c r="AA44" t="str">
        <f ca="1">IF(AND(ISNUMBER($AA$246),$B$185=1),$AA$246,HLOOKUP(INDIRECT(ADDRESS(2,COLUMN())),OFFSET($BN$2,0,0,ROW()-1,60),ROW()-1,FALSE))</f>
        <v/>
      </c>
      <c r="AB44" t="str">
        <f ca="1">IF(AND(ISNUMBER($AB$246),$B$185=1),$AB$246,HLOOKUP(INDIRECT(ADDRESS(2,COLUMN())),OFFSET($BN$2,0,0,ROW()-1,60),ROW()-1,FALSE))</f>
        <v/>
      </c>
      <c r="AC44" t="str">
        <f ca="1">IF(AND(ISNUMBER($AC$246),$B$185=1),$AC$246,HLOOKUP(INDIRECT(ADDRESS(2,COLUMN())),OFFSET($BN$2,0,0,ROW()-1,60),ROW()-1,FALSE))</f>
        <v/>
      </c>
      <c r="AD44" t="str">
        <f ca="1">IF(AND(ISNUMBER($AD$246),$B$185=1),$AD$246,HLOOKUP(INDIRECT(ADDRESS(2,COLUMN())),OFFSET($BN$2,0,0,ROW()-1,60),ROW()-1,FALSE))</f>
        <v/>
      </c>
      <c r="AE44" t="str">
        <f ca="1">IF(AND(ISNUMBER($AE$246),$B$185=1),$AE$246,HLOOKUP(INDIRECT(ADDRESS(2,COLUMN())),OFFSET($BN$2,0,0,ROW()-1,60),ROW()-1,FALSE))</f>
        <v/>
      </c>
      <c r="AF44" t="str">
        <f ca="1">IF(AND(ISNUMBER($AF$246),$B$185=1),$AF$246,HLOOKUP(INDIRECT(ADDRESS(2,COLUMN())),OFFSET($BN$2,0,0,ROW()-1,60),ROW()-1,FALSE))</f>
        <v/>
      </c>
      <c r="AG44" t="str">
        <f ca="1">IF(AND(ISNUMBER($AG$246),$B$185=1),$AG$246,HLOOKUP(INDIRECT(ADDRESS(2,COLUMN())),OFFSET($BN$2,0,0,ROW()-1,60),ROW()-1,FALSE))</f>
        <v/>
      </c>
      <c r="AH44" t="str">
        <f ca="1">IF(AND(ISNUMBER($AH$246),$B$185=1),$AH$246,HLOOKUP(INDIRECT(ADDRESS(2,COLUMN())),OFFSET($BN$2,0,0,ROW()-1,60),ROW()-1,FALSE))</f>
        <v/>
      </c>
      <c r="AI44" t="str">
        <f ca="1">IF(AND(ISNUMBER($AI$246),$B$185=1),$AI$246,HLOOKUP(INDIRECT(ADDRESS(2,COLUMN())),OFFSET($BN$2,0,0,ROW()-1,60),ROW()-1,FALSE))</f>
        <v/>
      </c>
      <c r="AJ44" t="str">
        <f ca="1">IF(AND(ISNUMBER($AJ$246),$B$185=1),$AJ$246,HLOOKUP(INDIRECT(ADDRESS(2,COLUMN())),OFFSET($BN$2,0,0,ROW()-1,60),ROW()-1,FALSE))</f>
        <v/>
      </c>
      <c r="AK44" t="str">
        <f ca="1">IF(AND(ISNUMBER($AK$246),$B$185=1),$AK$246,HLOOKUP(INDIRECT(ADDRESS(2,COLUMN())),OFFSET($BN$2,0,0,ROW()-1,60),ROW()-1,FALSE))</f>
        <v/>
      </c>
      <c r="AL44" t="str">
        <f ca="1">IF(AND(ISNUMBER($AL$246),$B$185=1),$AL$246,HLOOKUP(INDIRECT(ADDRESS(2,COLUMN())),OFFSET($BN$2,0,0,ROW()-1,60),ROW()-1,FALSE))</f>
        <v/>
      </c>
      <c r="AM44" t="str">
        <f ca="1">IF(AND(ISNUMBER($AM$246),$B$185=1),$AM$246,HLOOKUP(INDIRECT(ADDRESS(2,COLUMN())),OFFSET($BN$2,0,0,ROW()-1,60),ROW()-1,FALSE))</f>
        <v/>
      </c>
      <c r="AN44" t="str">
        <f ca="1">IF(AND(ISNUMBER($AN$246),$B$185=1),$AN$246,HLOOKUP(INDIRECT(ADDRESS(2,COLUMN())),OFFSET($BN$2,0,0,ROW()-1,60),ROW()-1,FALSE))</f>
        <v/>
      </c>
      <c r="AO44" t="str">
        <f ca="1">IF(AND(ISNUMBER($AO$246),$B$185=1),$AO$246,HLOOKUP(INDIRECT(ADDRESS(2,COLUMN())),OFFSET($BN$2,0,0,ROW()-1,60),ROW()-1,FALSE))</f>
        <v/>
      </c>
      <c r="AP44" t="str">
        <f ca="1">IF(AND(ISNUMBER($AP$246),$B$185=1),$AP$246,HLOOKUP(INDIRECT(ADDRESS(2,COLUMN())),OFFSET($BN$2,0,0,ROW()-1,60),ROW()-1,FALSE))</f>
        <v/>
      </c>
      <c r="AQ44" t="str">
        <f ca="1">IF(AND(ISNUMBER($AQ$246),$B$185=1),$AQ$246,HLOOKUP(INDIRECT(ADDRESS(2,COLUMN())),OFFSET($BN$2,0,0,ROW()-1,60),ROW()-1,FALSE))</f>
        <v/>
      </c>
      <c r="AR44" t="str">
        <f ca="1">IF(AND(ISNUMBER($AR$246),$B$185=1),$AR$246,HLOOKUP(INDIRECT(ADDRESS(2,COLUMN())),OFFSET($BN$2,0,0,ROW()-1,60),ROW()-1,FALSE))</f>
        <v/>
      </c>
      <c r="AS44" t="str">
        <f ca="1">IF(AND(ISNUMBER($AS$246),$B$185=1),$AS$246,HLOOKUP(INDIRECT(ADDRESS(2,COLUMN())),OFFSET($BN$2,0,0,ROW()-1,60),ROW()-1,FALSE))</f>
        <v/>
      </c>
      <c r="AT44" t="str">
        <f ca="1">IF(AND(ISNUMBER($AT$246),$B$185=1),$AT$246,HLOOKUP(INDIRECT(ADDRESS(2,COLUMN())),OFFSET($BN$2,0,0,ROW()-1,60),ROW()-1,FALSE))</f>
        <v/>
      </c>
      <c r="AU44" t="str">
        <f ca="1">IF(AND(ISNUMBER($AU$246),$B$185=1),$AU$246,HLOOKUP(INDIRECT(ADDRESS(2,COLUMN())),OFFSET($BN$2,0,0,ROW()-1,60),ROW()-1,FALSE))</f>
        <v/>
      </c>
      <c r="AV44" t="str">
        <f ca="1">IF(AND(ISNUMBER($AV$246),$B$185=1),$AV$246,HLOOKUP(INDIRECT(ADDRESS(2,COLUMN())),OFFSET($BN$2,0,0,ROW()-1,60),ROW()-1,FALSE))</f>
        <v/>
      </c>
      <c r="AW44" t="str">
        <f ca="1">IF(AND(ISNUMBER($AW$246),$B$185=1),$AW$246,HLOOKUP(INDIRECT(ADDRESS(2,COLUMN())),OFFSET($BN$2,0,0,ROW()-1,60),ROW()-1,FALSE))</f>
        <v/>
      </c>
      <c r="AX44" t="str">
        <f ca="1">IF(AND(ISNUMBER($AX$246),$B$185=1),$AX$246,HLOOKUP(INDIRECT(ADDRESS(2,COLUMN())),OFFSET($BN$2,0,0,ROW()-1,60),ROW()-1,FALSE))</f>
        <v/>
      </c>
      <c r="AY44" t="str">
        <f ca="1">IF(AND(ISNUMBER($AY$246),$B$185=1),$AY$246,HLOOKUP(INDIRECT(ADDRESS(2,COLUMN())),OFFSET($BN$2,0,0,ROW()-1,60),ROW()-1,FALSE))</f>
        <v/>
      </c>
      <c r="AZ44" t="str">
        <f ca="1">IF(AND(ISNUMBER($AZ$246),$B$185=1),$AZ$246,HLOOKUP(INDIRECT(ADDRESS(2,COLUMN())),OFFSET($BN$2,0,0,ROW()-1,60),ROW()-1,FALSE))</f>
        <v/>
      </c>
      <c r="BA44" t="str">
        <f ca="1">IF(AND(ISNUMBER($BA$246),$B$185=1),$BA$246,HLOOKUP(INDIRECT(ADDRESS(2,COLUMN())),OFFSET($BN$2,0,0,ROW()-1,60),ROW()-1,FALSE))</f>
        <v/>
      </c>
      <c r="BB44" t="str">
        <f ca="1">IF(AND(ISNUMBER($BB$246),$B$185=1),$BB$246,HLOOKUP(INDIRECT(ADDRESS(2,COLUMN())),OFFSET($BN$2,0,0,ROW()-1,60),ROW()-1,FALSE))</f>
        <v/>
      </c>
      <c r="BC44" t="str">
        <f ca="1">IF(AND(ISNUMBER($BC$246),$B$185=1),$BC$246,HLOOKUP(INDIRECT(ADDRESS(2,COLUMN())),OFFSET($BN$2,0,0,ROW()-1,60),ROW()-1,FALSE))</f>
        <v/>
      </c>
      <c r="BD44" t="str">
        <f ca="1">IF(AND(ISNUMBER($BD$246),$B$185=1),$BD$246,HLOOKUP(INDIRECT(ADDRESS(2,COLUMN())),OFFSET($BN$2,0,0,ROW()-1,60),ROW()-1,FALSE))</f>
        <v/>
      </c>
      <c r="BE44" t="str">
        <f ca="1">IF(AND(ISNUMBER($BE$246),$B$185=1),$BE$246,HLOOKUP(INDIRECT(ADDRESS(2,COLUMN())),OFFSET($BN$2,0,0,ROW()-1,60),ROW()-1,FALSE))</f>
        <v/>
      </c>
      <c r="BF44" t="str">
        <f ca="1">IF(AND(ISNUMBER($BF$246),$B$185=1),$BF$246,HLOOKUP(INDIRECT(ADDRESS(2,COLUMN())),OFFSET($BN$2,0,0,ROW()-1,60),ROW()-1,FALSE))</f>
        <v/>
      </c>
      <c r="BG44" t="str">
        <f ca="1">IF(AND(ISNUMBER($BG$246),$B$185=1),$BG$246,HLOOKUP(INDIRECT(ADDRESS(2,COLUMN())),OFFSET($BN$2,0,0,ROW()-1,60),ROW()-1,FALSE))</f>
        <v/>
      </c>
      <c r="BH44" t="str">
        <f ca="1">IF(AND(ISNUMBER($BH$246),$B$185=1),$BH$246,HLOOKUP(INDIRECT(ADDRESS(2,COLUMN())),OFFSET($BN$2,0,0,ROW()-1,60),ROW()-1,FALSE))</f>
        <v/>
      </c>
      <c r="BI44" t="str">
        <f ca="1">IF(AND(ISNUMBER($BI$246),$B$185=1),$BI$246,HLOOKUP(INDIRECT(ADDRESS(2,COLUMN())),OFFSET($BN$2,0,0,ROW()-1,60),ROW()-1,FALSE))</f>
        <v/>
      </c>
      <c r="BJ44" t="str">
        <f ca="1">IF(AND(ISNUMBER($BJ$246),$B$185=1),$BJ$246,HLOOKUP(INDIRECT(ADDRESS(2,COLUMN())),OFFSET($BN$2,0,0,ROW()-1,60),ROW()-1,FALSE))</f>
        <v/>
      </c>
      <c r="BK44" t="str">
        <f ca="1">IF(AND(ISNUMBER($BK$246),$B$185=1),$BK$246,HLOOKUP(INDIRECT(ADDRESS(2,COLUMN())),OFFSET($BN$2,0,0,ROW()-1,60),ROW()-1,FALSE))</f>
        <v/>
      </c>
      <c r="BL44" t="str">
        <f ca="1">IF(AND(ISNUMBER($BL$246),$B$185=1),$BL$246,HLOOKUP(INDIRECT(ADDRESS(2,COLUMN())),OFFSET($BN$2,0,0,ROW()-1,60),ROW()-1,FALSE))</f>
        <v/>
      </c>
      <c r="BM44" t="str">
        <f ca="1">IF(AND(ISNUMBER($BM$246),$B$185=1),$BM$246,HLOOKUP(INDIRECT(ADDRESS(2,COLUMN())),OFFSET($BN$2,0,0,ROW()-1,60),ROW()-1,FALSE))</f>
        <v/>
      </c>
      <c r="BN44" t="str">
        <f>""</f>
        <v/>
      </c>
      <c r="BO44" t="str">
        <f>""</f>
        <v/>
      </c>
      <c r="BP44" t="str">
        <f>""</f>
        <v/>
      </c>
      <c r="BQ44" t="str">
        <f>""</f>
        <v/>
      </c>
      <c r="BR44" t="str">
        <f>""</f>
        <v/>
      </c>
      <c r="BS44" t="str">
        <f>""</f>
        <v/>
      </c>
      <c r="BT44" t="str">
        <f>""</f>
        <v/>
      </c>
      <c r="BU44" t="str">
        <f>""</f>
        <v/>
      </c>
      <c r="BV44" t="str">
        <f>""</f>
        <v/>
      </c>
      <c r="BW44" t="str">
        <f>""</f>
        <v/>
      </c>
      <c r="BX44" t="str">
        <f>""</f>
        <v/>
      </c>
      <c r="BY44" t="str">
        <f>""</f>
        <v/>
      </c>
      <c r="BZ44" t="str">
        <f>""</f>
        <v/>
      </c>
      <c r="CA44" t="str">
        <f>""</f>
        <v/>
      </c>
      <c r="CB44" t="str">
        <f>""</f>
        <v/>
      </c>
      <c r="CC44" t="str">
        <f>""</f>
        <v/>
      </c>
      <c r="CD44" t="str">
        <f>""</f>
        <v/>
      </c>
      <c r="CE44" t="str">
        <f>""</f>
        <v/>
      </c>
      <c r="CF44" t="str">
        <f>""</f>
        <v/>
      </c>
      <c r="CG44" t="str">
        <f>""</f>
        <v/>
      </c>
      <c r="CH44" t="str">
        <f>""</f>
        <v/>
      </c>
      <c r="CI44" t="str">
        <f>""</f>
        <v/>
      </c>
      <c r="CJ44" t="str">
        <f>""</f>
        <v/>
      </c>
      <c r="CK44" t="str">
        <f>""</f>
        <v/>
      </c>
      <c r="CL44" t="str">
        <f>""</f>
        <v/>
      </c>
      <c r="CM44" t="str">
        <f>""</f>
        <v/>
      </c>
      <c r="CN44" t="str">
        <f>""</f>
        <v/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>
      <c r="A45" t="str">
        <f>"Residential Mortgage Banking Originations ($)"</f>
        <v>Residential Mortgage Banking Originations ($)</v>
      </c>
      <c r="B45" t="str">
        <f>""</f>
        <v/>
      </c>
      <c r="E45" t="str">
        <f>"Sum"</f>
        <v>Sum</v>
      </c>
      <c r="F45">
        <f ca="1">IF(ISERROR(IF(SUM($F$46:$F$58) = 0, "", SUM($F$46:$F$58))), "", (IF(SUM($F$46:$F$58) = 0, "", SUM($F$46:$F$58))))</f>
        <v>45300</v>
      </c>
      <c r="G45">
        <f ca="1">IF(ISERROR(IF(SUM($G$46:$G$58) = 0, "", SUM($G$46:$G$58))), "", (IF(SUM($G$46:$G$58) = 0, "", SUM($G$46:$G$58))))</f>
        <v>48120.2</v>
      </c>
      <c r="H45">
        <f ca="1">IF(ISERROR(IF(SUM($H$46:$H$58) = 0, "", SUM($H$46:$H$58))), "", (IF(SUM($H$46:$H$58) = 0, "", SUM($H$46:$H$58))))</f>
        <v>49349.2</v>
      </c>
      <c r="I45">
        <f ca="1">IF(ISERROR(IF(SUM($I$46:$I$58) = 0, "", SUM($I$46:$I$58))), "", (IF(SUM($I$46:$I$58) = 0, "", SUM($I$46:$I$58))))</f>
        <v>32000.5</v>
      </c>
      <c r="J45">
        <f ca="1">IF(ISERROR(IF(SUM($J$46:$J$58) = 0, "", SUM($J$46:$J$58))), "", (IF(SUM($J$46:$J$58) = 0, "", SUM($J$46:$J$58))))</f>
        <v>33516.699999999997</v>
      </c>
      <c r="K45">
        <f ca="1">IF(ISERROR(IF(SUM($K$46:$K$58) = 0, "", SUM($K$46:$K$58))), "", (IF(SUM($K$46:$K$58) = 0, "", SUM($K$46:$K$58))))</f>
        <v>46448.9</v>
      </c>
      <c r="L45">
        <f ca="1">IF(ISERROR(IF(SUM($L$46:$L$58) = 0, "", SUM($L$46:$L$58))), "", (IF(SUM($L$46:$L$58) = 0, "", SUM($L$46:$L$58))))</f>
        <v>54883.8</v>
      </c>
      <c r="M45">
        <f ca="1">IF(ISERROR(IF(SUM($M$46:$M$58) = 0, "", SUM($M$46:$M$58))), "", (IF(SUM($M$46:$M$58) = 0, "", SUM($M$46:$M$58))))</f>
        <v>43312.4</v>
      </c>
      <c r="N45">
        <f ca="1">IF(ISERROR(IF(SUM($N$46:$N$58) = 0, "", SUM($N$46:$N$58))), "", (IF(SUM($N$46:$N$58) = 0, "", SUM($N$46:$N$58))))</f>
        <v>50707.5</v>
      </c>
      <c r="O45">
        <f ca="1">IF(ISERROR(IF(SUM($O$46:$O$58) = 0, "", SUM($O$46:$O$58))), "", (IF(SUM($O$46:$O$58) = 0, "", SUM($O$46:$O$58))))</f>
        <v>76433.899999999994</v>
      </c>
      <c r="P45">
        <f ca="1">IF(ISERROR(IF(SUM($P$46:$P$58) = 0, "", SUM($P$46:$P$58))), "", (IF(SUM($P$46:$P$58) = 0, "", SUM($P$46:$P$58))))</f>
        <v>106337</v>
      </c>
      <c r="Q45">
        <f ca="1">IF(ISERROR(IF(SUM($Q$46:$Q$58) = 0, "", SUM($Q$46:$Q$58))), "", (IF(SUM($Q$46:$Q$58) = 0, "", SUM($Q$46:$Q$58))))</f>
        <v>114804.9</v>
      </c>
      <c r="R45">
        <f ca="1">IF(ISERROR(IF(SUM($R$46:$R$58) = 0, "", SUM($R$46:$R$58))), "", (IF(SUM($R$46:$R$58) = 0, "", SUM($R$46:$R$58))))</f>
        <v>162998.9</v>
      </c>
      <c r="S45">
        <f ca="1">IF(ISERROR(IF(SUM($S$46:$S$58) = 0, "", SUM($S$46:$S$58))), "", (IF(SUM($S$46:$S$58) = 0, "", SUM($S$46:$S$58))))</f>
        <v>168562.9</v>
      </c>
      <c r="T45">
        <f ca="1">IF(ISERROR(IF(SUM($T$46:$T$58) = 0, "", SUM($T$46:$T$58))), "", (IF(SUM($T$46:$T$58) = 0, "", SUM($T$46:$T$58))))</f>
        <v>177261.4</v>
      </c>
      <c r="U45">
        <f ca="1">IF(ISERROR(IF(SUM($U$46:$U$58) = 0, "", SUM($U$46:$U$58))), "", (IF(SUM($U$46:$U$58) = 0, "", SUM($U$46:$U$58))))</f>
        <v>167021.79999999999</v>
      </c>
      <c r="V45">
        <f ca="1">IF(ISERROR(IF(SUM($V$46:$V$58) = 0, "", SUM($V$46:$V$58))), "", (IF(SUM($V$46:$V$58) = 0, "", SUM($V$46:$V$58))))</f>
        <v>165385.9</v>
      </c>
      <c r="W45">
        <f ca="1">IF(ISERROR(IF(SUM($W$46:$W$58) = 0, "", SUM($W$46:$W$58))), "", (IF(SUM($W$46:$W$58) = 0, "", SUM($W$46:$W$58))))</f>
        <v>168799</v>
      </c>
      <c r="X45">
        <f ca="1">IF(ISERROR(IF(SUM($X$46:$X$58) = 0, "", SUM($X$46:$X$58))), "", (IF(SUM($X$46:$X$58) = 0, "", SUM($X$46:$X$58))))</f>
        <v>168286</v>
      </c>
      <c r="Y45">
        <f ca="1">IF(ISERROR(IF(SUM($Y$46:$Y$58) = 0, "", SUM($Y$46:$Y$58))), "", (IF(SUM($Y$46:$Y$58) = 0, "", SUM($Y$46:$Y$58))))</f>
        <v>141251.1</v>
      </c>
      <c r="Z45">
        <f ca="1">IF(ISERROR(IF(SUM($Z$46:$Z$58) = 0, "", SUM($Z$46:$Z$58))), "", (IF(SUM($Z$46:$Z$58) = 0, "", SUM($Z$46:$Z$58))))</f>
        <v>153006.9</v>
      </c>
      <c r="AA45">
        <f ca="1">IF(ISERROR(IF(SUM($AA$46:$AA$58) = 0, "", SUM($AA$46:$AA$58))), "", (IF(SUM($AA$46:$AA$58) = 0, "", SUM($AA$46:$AA$58))))</f>
        <v>150858.1</v>
      </c>
      <c r="AB45">
        <f ca="1">IF(ISERROR(IF(SUM($AB$46:$AB$58) = 0, "", SUM($AB$46:$AB$58))), "", (IF(SUM($AB$46:$AB$58) = 0, "", SUM($AB$46:$AB$58))))</f>
        <v>130313.5</v>
      </c>
      <c r="AC45">
        <f ca="1">IF(ISERROR(IF(SUM($AC$46:$AC$58) = 0, "", SUM($AC$46:$AC$58))), "", (IF(SUM($AC$46:$AC$58) = 0, "", SUM($AC$46:$AC$58))))</f>
        <v>81845.7</v>
      </c>
      <c r="AD45">
        <f ca="1">IF(ISERROR(IF(SUM($AD$46:$AD$58) = 0, "", SUM($AD$46:$AD$58))), "", (IF(SUM($AD$46:$AD$58) = 0, "", SUM($AD$46:$AD$58))))</f>
        <v>88487</v>
      </c>
      <c r="AE45">
        <f ca="1">IF(ISERROR(IF(SUM($AE$46:$AE$58) = 0, "", SUM($AE$46:$AE$58))), "", (IF(SUM($AE$46:$AE$58) = 0, "", SUM($AE$46:$AE$58))))</f>
        <v>108269.8</v>
      </c>
      <c r="AF45">
        <f ca="1">IF(ISERROR(IF(SUM($AF$46:$AF$58) = 0, "", SUM($AF$46:$AF$58))), "", (IF(SUM($AF$46:$AF$58) = 0, "", SUM($AF$46:$AF$58))))</f>
        <v>113425.7</v>
      </c>
      <c r="AG45">
        <f ca="1">IF(ISERROR(IF(SUM($AG$46:$AG$58) = 0, "", SUM($AG$46:$AG$58))), "", (IF(SUM($AG$46:$AG$58) = 0, "", SUM($AG$46:$AG$58))))</f>
        <v>96183.9</v>
      </c>
      <c r="AH45">
        <f ca="1">IF(ISERROR(IF(SUM($AH$46:$AH$58) = 0, "", SUM($AH$46:$AH$58))), "", (IF(SUM($AH$46:$AH$58) = 0, "", SUM($AH$46:$AH$58))))</f>
        <v>121312.4</v>
      </c>
      <c r="AI45">
        <f ca="1">IF(ISERROR(IF(SUM($AI$46:$AI$58) = 0, "", SUM($AI$46:$AI$58))), "", (IF(SUM($AI$46:$AI$58) = 0, "", SUM($AI$46:$AI$58))))</f>
        <v>130021.4</v>
      </c>
      <c r="AJ45">
        <f ca="1">IF(ISERROR(IF(SUM($AJ$46:$AJ$58) = 0, "", SUM($AJ$46:$AJ$58))), "", (IF(SUM($AJ$46:$AJ$58) = 0, "", SUM($AJ$46:$AJ$58))))</f>
        <v>123547.9</v>
      </c>
      <c r="AK45">
        <f ca="1">IF(ISERROR(IF(SUM($AK$46:$AK$58) = 0, "", SUM($AK$46:$AK$58))), "", (IF(SUM($AK$46:$AK$58) = 0, "", SUM($AK$46:$AK$58))))</f>
        <v>106180</v>
      </c>
      <c r="AL45">
        <f ca="1">IF(ISERROR(IF(SUM($AL$46:$AL$58) = 0, "", SUM($AL$46:$AL$58))), "", (IF(SUM($AL$46:$AL$58) = 0, "", SUM($AL$46:$AL$58))))</f>
        <v>153967.9</v>
      </c>
      <c r="AM45">
        <f ca="1">IF(ISERROR(IF(SUM($AM$46:$AM$58) = 0, "", SUM($AM$46:$AM$58))), "", (IF(SUM($AM$46:$AM$58) = 0, "", SUM($AM$46:$AM$58))))</f>
        <v>155150.20000000001</v>
      </c>
      <c r="AN45">
        <f ca="1">IF(ISERROR(IF(SUM($AN$46:$AN$58) = 0, "", SUM($AN$46:$AN$58))), "", (IF(SUM($AN$46:$AN$58) = 0, "", SUM($AN$46:$AN$58))))</f>
        <v>143180</v>
      </c>
      <c r="AO45">
        <f ca="1">IF(ISERROR(IF(SUM($AO$46:$AO$58) = 0, "", SUM($AO$46:$AO$58))), "", (IF(SUM($AO$46:$AO$58) = 0, "", SUM($AO$46:$AO$58))))</f>
        <v>108965</v>
      </c>
      <c r="AP45">
        <f ca="1">IF(ISERROR(IF(SUM($AP$46:$AP$58) = 0, "", SUM($AP$46:$AP$58))), "", (IF(SUM($AP$46:$AP$58) = 0, "", SUM($AP$46:$AP$58))))</f>
        <v>114308.5</v>
      </c>
      <c r="AQ45">
        <f ca="1">IF(ISERROR(IF(SUM($AQ$46:$AQ$58) = 0, "", SUM($AQ$46:$AQ$58))), "", (IF(SUM($AQ$46:$AQ$58) = 0, "", SUM($AQ$46:$AQ$58))))</f>
        <v>136351.20000000001</v>
      </c>
      <c r="AR45">
        <f ca="1">IF(ISERROR(IF(SUM($AR$46:$AR$58) = 0, "", SUM($AR$46:$AR$58))), "", (IF(SUM($AR$46:$AR$58) = 0, "", SUM($AR$46:$AR$58))))</f>
        <v>147031.20000000001</v>
      </c>
      <c r="AS45">
        <f ca="1">IF(ISERROR(IF(SUM($AS$46:$AS$58) = 0, "", SUM($AS$46:$AS$58))), "", (IF(SUM($AS$46:$AS$58) = 0, "", SUM($AS$46:$AS$58))))</f>
        <v>119526.1</v>
      </c>
      <c r="AT45">
        <f ca="1">IF(ISERROR(IF(SUM($AT$46:$AT$58) = 0, "", SUM($AT$46:$AT$58))), "", (IF(SUM($AT$46:$AT$58) = 0, "", SUM($AT$46:$AT$58))))</f>
        <v>109518.3</v>
      </c>
      <c r="AU45">
        <f ca="1">IF(ISERROR(IF(SUM($AU$46:$AU$58) = 0, "", SUM($AU$46:$AU$58))), "", (IF(SUM($AU$46:$AU$58) = 0, "", SUM($AU$46:$AU$58))))</f>
        <v>113945.7</v>
      </c>
      <c r="AV45">
        <f ca="1">IF(ISERROR(IF(SUM($AV$46:$AV$58) = 0, "", SUM($AV$46:$AV$58))), "", (IF(SUM($AV$46:$AV$58) = 0, "", SUM($AV$46:$AV$58))))</f>
        <v>103504</v>
      </c>
      <c r="AW45">
        <f ca="1">IF(ISERROR(IF(SUM($AW$46:$AW$58) = 0, "", SUM($AW$46:$AW$58))), "", (IF(SUM($AW$46:$AW$58) = 0, "", SUM($AW$46:$AW$58))))</f>
        <v>84502.1</v>
      </c>
      <c r="AX45">
        <f ca="1">IF(ISERROR(IF(SUM($AX$46:$AX$58) = 0, "", SUM($AX$46:$AX$58))), "", (IF(SUM($AX$46:$AX$58) = 0, "", SUM($AX$46:$AX$58))))</f>
        <v>116447.3</v>
      </c>
      <c r="AY45">
        <f ca="1">IF(ISERROR(IF(SUM($AY$46:$AY$58) = 0, "", SUM($AY$46:$AY$58))), "", (IF(SUM($AY$46:$AY$58) = 0, "", SUM($AY$46:$AY$58))))</f>
        <v>194571.9</v>
      </c>
      <c r="AZ45">
        <f ca="1">IF(ISERROR(IF(SUM($AZ$46:$AZ$58) = 0, "", SUM($AZ$46:$AZ$58))), "", (IF(SUM($AZ$46:$AZ$58) = 0, "", SUM($AZ$46:$AZ$58))))</f>
        <v>247866</v>
      </c>
      <c r="BA45">
        <f ca="1">IF(ISERROR(IF(SUM($BA$46:$BA$58) = 0, "", SUM($BA$46:$BA$58))), "", (IF(SUM($BA$46:$BA$58) = 0, "", SUM($BA$46:$BA$58))))</f>
        <v>250063</v>
      </c>
      <c r="BB45">
        <f ca="1">IF(ISERROR(IF(SUM($BB$46:$BB$58) = 0, "", SUM($BB$46:$BB$58))), "", (IF(SUM($BB$46:$BB$58) = 0, "", SUM($BB$46:$BB$58))))</f>
        <v>261369.4</v>
      </c>
      <c r="BC45">
        <f ca="1">IF(ISERROR(IF(SUM($BC$46:$BC$58) = 0, "", SUM($BC$46:$BC$58))), "", (IF(SUM($BC$46:$BC$58) = 0, "", SUM($BC$46:$BC$58))))</f>
        <v>265442.90000000002</v>
      </c>
      <c r="BD45">
        <f ca="1">IF(ISERROR(IF(SUM($BD$46:$BD$58) = 0, "", SUM($BD$46:$BD$58))), "", (IF(SUM($BD$46:$BD$58) = 0, "", SUM($BD$46:$BD$58))))</f>
        <v>250939</v>
      </c>
      <c r="BE45">
        <f ca="1">IF(ISERROR(IF(SUM($BE$46:$BE$58) = 0, "", SUM($BE$46:$BE$58))), "", (IF(SUM($BE$46:$BE$58) = 0, "", SUM($BE$46:$BE$58))))</f>
        <v>238068</v>
      </c>
      <c r="BF45">
        <f ca="1">IF(ISERROR(IF(SUM($BF$46:$BF$58) = 0, "", SUM($BF$46:$BF$58))), "", (IF(SUM($BF$46:$BF$58) = 0, "", SUM($BF$46:$BF$58))))</f>
        <v>241325.2</v>
      </c>
      <c r="BG45">
        <f ca="1">IF(ISERROR(IF(SUM($BG$46:$BG$58) = 0, "", SUM($BG$46:$BG$58))), "", (IF(SUM($BG$46:$BG$58) = 0, "", SUM($BG$46:$BG$58))))</f>
        <v>203670.8</v>
      </c>
      <c r="BH45">
        <f ca="1">IF(ISERROR(IF(SUM($BH$46:$BH$58) = 0, "", SUM($BH$46:$BH$58))), "", (IF(SUM($BH$46:$BH$58) = 0, "", SUM($BH$46:$BH$58))))</f>
        <v>170643</v>
      </c>
      <c r="BI45">
        <f ca="1">IF(ISERROR(IF(SUM($BI$46:$BI$58) = 0, "", SUM($BI$46:$BI$58))), "", (IF(SUM($BI$46:$BI$58) = 0, "", SUM($BI$46:$BI$58))))</f>
        <v>220527</v>
      </c>
      <c r="BJ45">
        <f ca="1">IF(ISERROR(IF(SUM($BJ$46:$BJ$58) = 0, "", SUM($BJ$46:$BJ$58))), "", (IF(SUM($BJ$46:$BJ$58) = 0, "", SUM($BJ$46:$BJ$58))))</f>
        <v>329378</v>
      </c>
      <c r="BK45">
        <f ca="1">IF(ISERROR(IF(SUM($BK$46:$BK$58) = 0, "", SUM($BK$46:$BK$58))), "", (IF(SUM($BK$46:$BK$58) = 0, "", SUM($BK$46:$BK$58))))</f>
        <v>270340</v>
      </c>
      <c r="BL45">
        <f ca="1">IF(ISERROR(IF(SUM($BL$46:$BL$58) = 0, "", SUM($BL$46:$BL$58))), "", (IF(SUM($BL$46:$BL$58) = 0, "", SUM($BL$46:$BL$58))))</f>
        <v>222701</v>
      </c>
      <c r="BM45">
        <f ca="1">IF(ISERROR(IF(SUM($BM$46:$BM$58) = 0, "", SUM($BM$46:$BM$58))), "", (IF(SUM($BM$46:$BM$58) = 0, "", SUM($BM$46:$BM$58))))</f>
        <v>8191</v>
      </c>
      <c r="BN45">
        <f>45300</f>
        <v>45300</v>
      </c>
      <c r="BO45">
        <f>48120.2</f>
        <v>48120.2</v>
      </c>
      <c r="BP45">
        <f>49349.2</f>
        <v>49349.2</v>
      </c>
      <c r="BQ45">
        <f>32000.5</f>
        <v>32000.5</v>
      </c>
      <c r="BR45">
        <f>33516.7</f>
        <v>33516.699999999997</v>
      </c>
      <c r="BS45">
        <f>46448.9</f>
        <v>46448.9</v>
      </c>
      <c r="BT45">
        <f>54883.8</f>
        <v>54883.8</v>
      </c>
      <c r="BU45">
        <f>43312.4</f>
        <v>43312.4</v>
      </c>
      <c r="BV45">
        <f>50707.5</f>
        <v>50707.5</v>
      </c>
      <c r="BW45">
        <f>76433.9</f>
        <v>76433.899999999994</v>
      </c>
      <c r="BX45">
        <f>106337</f>
        <v>106337</v>
      </c>
      <c r="BY45">
        <f>114804.9</f>
        <v>114804.9</v>
      </c>
      <c r="BZ45">
        <f>162998.9</f>
        <v>162998.9</v>
      </c>
      <c r="CA45">
        <f>168562.9</f>
        <v>168562.9</v>
      </c>
      <c r="CB45">
        <f>177261.4</f>
        <v>177261.4</v>
      </c>
      <c r="CC45">
        <f>167021.8</f>
        <v>167021.79999999999</v>
      </c>
      <c r="CD45">
        <f>165385.9</f>
        <v>165385.9</v>
      </c>
      <c r="CE45">
        <f>168799</f>
        <v>168799</v>
      </c>
      <c r="CF45">
        <f>168286</f>
        <v>168286</v>
      </c>
      <c r="CG45">
        <f>141251.1</f>
        <v>141251.1</v>
      </c>
      <c r="CH45">
        <f>153006.9</f>
        <v>153006.9</v>
      </c>
      <c r="CI45">
        <f>150858.1</f>
        <v>150858.1</v>
      </c>
      <c r="CJ45">
        <f>130313.5</f>
        <v>130313.5</v>
      </c>
      <c r="CK45">
        <f>81845.7</f>
        <v>81845.7</v>
      </c>
      <c r="CL45">
        <f>88487</f>
        <v>88487</v>
      </c>
      <c r="CM45">
        <f>108269.8</f>
        <v>108269.8</v>
      </c>
      <c r="CN45">
        <f>113425.7</f>
        <v>113425.7</v>
      </c>
      <c r="CO45">
        <f>96183.9</f>
        <v>96183.9</v>
      </c>
      <c r="CP45">
        <f>121312.4</f>
        <v>121312.4</v>
      </c>
      <c r="CQ45">
        <f>130021.4</f>
        <v>130021.4</v>
      </c>
      <c r="CR45">
        <f>123547.9</f>
        <v>123547.9</v>
      </c>
      <c r="CS45">
        <f>106180</f>
        <v>106180</v>
      </c>
      <c r="CT45">
        <f>153967.9</f>
        <v>153967.9</v>
      </c>
      <c r="CU45">
        <f>155150.2</f>
        <v>155150.20000000001</v>
      </c>
      <c r="CV45">
        <f>143180</f>
        <v>143180</v>
      </c>
      <c r="CW45">
        <f>108965</f>
        <v>108965</v>
      </c>
      <c r="CX45">
        <f>114308.5</f>
        <v>114308.5</v>
      </c>
      <c r="CY45">
        <f>136351.2</f>
        <v>136351.20000000001</v>
      </c>
      <c r="CZ45">
        <f>147031.2</f>
        <v>147031.20000000001</v>
      </c>
      <c r="DA45">
        <f>119526.1</f>
        <v>119526.1</v>
      </c>
      <c r="DB45">
        <f>109518.3</f>
        <v>109518.3</v>
      </c>
      <c r="DC45">
        <f>113945.7</f>
        <v>113945.7</v>
      </c>
      <c r="DD45">
        <f>103504</f>
        <v>103504</v>
      </c>
      <c r="DE45">
        <f>84502.1</f>
        <v>84502.1</v>
      </c>
      <c r="DF45">
        <f>116447.3</f>
        <v>116447.3</v>
      </c>
      <c r="DG45">
        <f>194571.9</f>
        <v>194571.9</v>
      </c>
      <c r="DH45">
        <f>247866</f>
        <v>247866</v>
      </c>
      <c r="DI45">
        <f>250063</f>
        <v>250063</v>
      </c>
      <c r="DJ45">
        <f>261369.4</f>
        <v>261369.4</v>
      </c>
      <c r="DK45">
        <f>265442.9</f>
        <v>265442.90000000002</v>
      </c>
      <c r="DL45">
        <f>250939</f>
        <v>250939</v>
      </c>
      <c r="DM45">
        <f>238068</f>
        <v>238068</v>
      </c>
      <c r="DN45">
        <f>241325.2</f>
        <v>241325.2</v>
      </c>
      <c r="DO45">
        <f>203670.8</f>
        <v>203670.8</v>
      </c>
      <c r="DP45">
        <f>170643</f>
        <v>170643</v>
      </c>
      <c r="DQ45">
        <f>220527</f>
        <v>220527</v>
      </c>
      <c r="DR45">
        <f>329378</f>
        <v>329378</v>
      </c>
      <c r="DS45">
        <f>270340</f>
        <v>270340</v>
      </c>
      <c r="DT45">
        <f>222701</f>
        <v>222701</v>
      </c>
      <c r="DU45">
        <f>8191</f>
        <v>8191</v>
      </c>
    </row>
    <row r="46" spans="1:125">
      <c r="A46" t="str">
        <f>"    BancorpSouth Inc"</f>
        <v xml:space="preserve">    BancorpSouth Inc</v>
      </c>
      <c r="B46" t="str">
        <f>"BXS US Equity"</f>
        <v>BXS US Equity</v>
      </c>
      <c r="C46" t="str">
        <f t="shared" ref="C46:C58" si="4">"IS688"</f>
        <v>IS688</v>
      </c>
      <c r="D46" t="str">
        <f t="shared" ref="D46:D58" si="5">"IS_RESIDENTIAL_MTG_ORIGINATIONS"</f>
        <v>IS_RESIDENTIAL_MTG_ORIGINATIONS</v>
      </c>
      <c r="E46" t="str">
        <f t="shared" ref="E46:E58" si="6">"Dynamic"</f>
        <v>Dynamic</v>
      </c>
      <c r="F46" t="str">
        <f ca="1">IF(AND(ISNUMBER($F$247),$B$185=1),$F$247,HLOOKUP(INDIRECT(ADDRESS(2,COLUMN())),OFFSET($BN$2,0,0,ROW()-1,60),ROW()-1,FALSE))</f>
        <v/>
      </c>
      <c r="G46">
        <f ca="1">IF(AND(ISNUMBER($G$247),$B$185=1),$G$247,HLOOKUP(INDIRECT(ADDRESS(2,COLUMN())),OFFSET($BN$2,0,0,ROW()-1,60),ROW()-1,FALSE))</f>
        <v>8.1999999999999993</v>
      </c>
      <c r="H46">
        <f ca="1">IF(AND(ISNUMBER($H$247),$B$185=1),$H$247,HLOOKUP(INDIRECT(ADDRESS(2,COLUMN())),OFFSET($BN$2,0,0,ROW()-1,60),ROW()-1,FALSE))</f>
        <v>7.2</v>
      </c>
      <c r="I46">
        <f ca="1">IF(AND(ISNUMBER($I$247),$B$185=1),$I$247,HLOOKUP(INDIRECT(ADDRESS(2,COLUMN())),OFFSET($BN$2,0,0,ROW()-1,60),ROW()-1,FALSE))</f>
        <v>6.5</v>
      </c>
      <c r="J46">
        <f ca="1">IF(AND(ISNUMBER($J$247),$B$185=1),$J$247,HLOOKUP(INDIRECT(ADDRESS(2,COLUMN())),OFFSET($BN$2,0,0,ROW()-1,60),ROW()-1,FALSE))</f>
        <v>434.7</v>
      </c>
      <c r="K46">
        <f ca="1">IF(AND(ISNUMBER($K$247),$B$185=1),$K$247,HLOOKUP(INDIRECT(ADDRESS(2,COLUMN())),OFFSET($BN$2,0,0,ROW()-1,60),ROW()-1,FALSE))</f>
        <v>848.9</v>
      </c>
      <c r="L46">
        <f ca="1">IF(AND(ISNUMBER($L$247),$B$185=1),$L$247,HLOOKUP(INDIRECT(ADDRESS(2,COLUMN())),OFFSET($BN$2,0,0,ROW()-1,60),ROW()-1,FALSE))</f>
        <v>6.8</v>
      </c>
      <c r="M46">
        <f ca="1">IF(AND(ISNUMBER($M$247),$B$185=1),$M$247,HLOOKUP(INDIRECT(ADDRESS(2,COLUMN())),OFFSET($BN$2,0,0,ROW()-1,60),ROW()-1,FALSE))</f>
        <v>8.4</v>
      </c>
      <c r="N46">
        <f ca="1">IF(AND(ISNUMBER($N$247),$B$185=1),$N$247,HLOOKUP(INDIRECT(ADDRESS(2,COLUMN())),OFFSET($BN$2,0,0,ROW()-1,60),ROW()-1,FALSE))</f>
        <v>554.5</v>
      </c>
      <c r="O46">
        <f ca="1">IF(AND(ISNUMBER($O$247),$B$185=1),$O$247,HLOOKUP(INDIRECT(ADDRESS(2,COLUMN())),OFFSET($BN$2,0,0,ROW()-1,60),ROW()-1,FALSE))</f>
        <v>769.9</v>
      </c>
      <c r="P46">
        <f ca="1">IF(AND(ISNUMBER($P$247),$B$185=1),$P$247,HLOOKUP(INDIRECT(ADDRESS(2,COLUMN())),OFFSET($BN$2,0,0,ROW()-1,60),ROW()-1,FALSE))</f>
        <v>913</v>
      </c>
      <c r="Q46">
        <f ca="1">IF(AND(ISNUMBER($Q$247),$B$185=1),$Q$247,HLOOKUP(INDIRECT(ADDRESS(2,COLUMN())),OFFSET($BN$2,0,0,ROW()-1,60),ROW()-1,FALSE))</f>
        <v>803.9</v>
      </c>
      <c r="R46">
        <f ca="1">IF(AND(ISNUMBER($R$247),$B$185=1),$R$247,HLOOKUP(INDIRECT(ADDRESS(2,COLUMN())),OFFSET($BN$2,0,0,ROW()-1,60),ROW()-1,FALSE))</f>
        <v>817.9</v>
      </c>
      <c r="S46">
        <f ca="1">IF(AND(ISNUMBER($S$247),$B$185=1),$S$247,HLOOKUP(INDIRECT(ADDRESS(2,COLUMN())),OFFSET($BN$2,0,0,ROW()-1,60),ROW()-1,FALSE))</f>
        <v>788.9</v>
      </c>
      <c r="T46">
        <f ca="1">IF(AND(ISNUMBER($T$247),$B$185=1),$T$247,HLOOKUP(INDIRECT(ADDRESS(2,COLUMN())),OFFSET($BN$2,0,0,ROW()-1,60),ROW()-1,FALSE))</f>
        <v>906.4</v>
      </c>
      <c r="U46">
        <f ca="1">IF(AND(ISNUMBER($U$247),$B$185=1),$U$247,HLOOKUP(INDIRECT(ADDRESS(2,COLUMN())),OFFSET($BN$2,0,0,ROW()-1,60),ROW()-1,FALSE))</f>
        <v>789.8</v>
      </c>
      <c r="V46">
        <f ca="1">IF(AND(ISNUMBER($V$247),$B$185=1),$V$247,HLOOKUP(INDIRECT(ADDRESS(2,COLUMN())),OFFSET($BN$2,0,0,ROW()-1,60),ROW()-1,FALSE))</f>
        <v>845.9</v>
      </c>
      <c r="W46">
        <f ca="1">IF(AND(ISNUMBER($W$247),$B$185=1),$W$247,HLOOKUP(INDIRECT(ADDRESS(2,COLUMN())),OFFSET($BN$2,0,0,ROW()-1,60),ROW()-1,FALSE))</f>
        <v>0</v>
      </c>
      <c r="X46">
        <f ca="1">IF(AND(ISNUMBER($X$247),$B$185=1),$X$247,HLOOKUP(INDIRECT(ADDRESS(2,COLUMN())),OFFSET($BN$2,0,0,ROW()-1,60),ROW()-1,FALSE))</f>
        <v>989</v>
      </c>
      <c r="Y46">
        <f ca="1">IF(AND(ISNUMBER($Y$247),$B$185=1),$Y$247,HLOOKUP(INDIRECT(ADDRESS(2,COLUMN())),OFFSET($BN$2,0,0,ROW()-1,60),ROW()-1,FALSE))</f>
        <v>477.1</v>
      </c>
      <c r="Z46">
        <f ca="1">IF(AND(ISNUMBER($Z$247),$B$185=1),$Z$247,HLOOKUP(INDIRECT(ADDRESS(2,COLUMN())),OFFSET($BN$2,0,0,ROW()-1,60),ROW()-1,FALSE))</f>
        <v>504.9</v>
      </c>
      <c r="AA46">
        <f ca="1">IF(AND(ISNUMBER($AA$247),$B$185=1),$AA$247,HLOOKUP(INDIRECT(ADDRESS(2,COLUMN())),OFFSET($BN$2,0,0,ROW()-1,60),ROW()-1,FALSE))</f>
        <v>536.1</v>
      </c>
      <c r="AB46">
        <f ca="1">IF(AND(ISNUMBER($AB$247),$B$185=1),$AB$247,HLOOKUP(INDIRECT(ADDRESS(2,COLUMN())),OFFSET($BN$2,0,0,ROW()-1,60),ROW()-1,FALSE))</f>
        <v>495.5</v>
      </c>
      <c r="AC46">
        <f ca="1">IF(AND(ISNUMBER($AC$247),$B$185=1),$AC$247,HLOOKUP(INDIRECT(ADDRESS(2,COLUMN())),OFFSET($BN$2,0,0,ROW()-1,60),ROW()-1,FALSE))</f>
        <v>291.7</v>
      </c>
      <c r="AD46">
        <f ca="1">IF(AND(ISNUMBER($AD$247),$B$185=1),$AD$247,HLOOKUP(INDIRECT(ADDRESS(2,COLUMN())),OFFSET($BN$2,0,0,ROW()-1,60),ROW()-1,FALSE))</f>
        <v>305</v>
      </c>
      <c r="AE46">
        <f ca="1">IF(AND(ISNUMBER($AE$247),$B$185=1),$AE$247,HLOOKUP(INDIRECT(ADDRESS(2,COLUMN())),OFFSET($BN$2,0,0,ROW()-1,60),ROW()-1,FALSE))</f>
        <v>384.8</v>
      </c>
      <c r="AF46">
        <f ca="1">IF(AND(ISNUMBER($AF$247),$B$185=1),$AF$247,HLOOKUP(INDIRECT(ADDRESS(2,COLUMN())),OFFSET($BN$2,0,0,ROW()-1,60),ROW()-1,FALSE))</f>
        <v>523.70000000000005</v>
      </c>
      <c r="AG46">
        <f ca="1">IF(AND(ISNUMBER($AG$247),$B$185=1),$AG$247,HLOOKUP(INDIRECT(ADDRESS(2,COLUMN())),OFFSET($BN$2,0,0,ROW()-1,60),ROW()-1,FALSE))</f>
        <v>291.89999999999998</v>
      </c>
      <c r="AH46">
        <f ca="1">IF(AND(ISNUMBER($AH$247),$B$185=1),$AH$247,HLOOKUP(INDIRECT(ADDRESS(2,COLUMN())),OFFSET($BN$2,0,0,ROW()-1,60),ROW()-1,FALSE))</f>
        <v>308.39999999999998</v>
      </c>
      <c r="AI46">
        <f ca="1">IF(AND(ISNUMBER($AI$247),$B$185=1),$AI$247,HLOOKUP(INDIRECT(ADDRESS(2,COLUMN())),OFFSET($BN$2,0,0,ROW()-1,60),ROW()-1,FALSE))</f>
        <v>342.4</v>
      </c>
      <c r="AJ46">
        <f ca="1">IF(AND(ISNUMBER($AJ$247),$B$185=1),$AJ$247,HLOOKUP(INDIRECT(ADDRESS(2,COLUMN())),OFFSET($BN$2,0,0,ROW()-1,60),ROW()-1,FALSE))</f>
        <v>385.9</v>
      </c>
      <c r="AK46">
        <f ca="1">IF(AND(ISNUMBER($AK$247),$B$185=1),$AK$247,HLOOKUP(INDIRECT(ADDRESS(2,COLUMN())),OFFSET($BN$2,0,0,ROW()-1,60),ROW()-1,FALSE))</f>
        <v>288</v>
      </c>
      <c r="AL46">
        <f ca="1">IF(AND(ISNUMBER($AL$247),$B$185=1),$AL$247,HLOOKUP(INDIRECT(ADDRESS(2,COLUMN())),OFFSET($BN$2,0,0,ROW()-1,60),ROW()-1,FALSE))</f>
        <v>395.9</v>
      </c>
      <c r="AM46">
        <f ca="1">IF(AND(ISNUMBER($AM$247),$B$185=1),$AM$247,HLOOKUP(INDIRECT(ADDRESS(2,COLUMN())),OFFSET($BN$2,0,0,ROW()-1,60),ROW()-1,FALSE))</f>
        <v>478.2</v>
      </c>
      <c r="AN46">
        <f ca="1">IF(AND(ISNUMBER($AN$247),$B$185=1),$AN$247,HLOOKUP(INDIRECT(ADDRESS(2,COLUMN())),OFFSET($BN$2,0,0,ROW()-1,60),ROW()-1,FALSE))</f>
        <v>463</v>
      </c>
      <c r="AO46">
        <f ca="1">IF(AND(ISNUMBER($AO$247),$B$185=1),$AO$247,HLOOKUP(INDIRECT(ADDRESS(2,COLUMN())),OFFSET($BN$2,0,0,ROW()-1,60),ROW()-1,FALSE))</f>
        <v>315</v>
      </c>
      <c r="AP46">
        <f ca="1">IF(AND(ISNUMBER($AP$247),$B$185=1),$AP$247,HLOOKUP(INDIRECT(ADDRESS(2,COLUMN())),OFFSET($BN$2,0,0,ROW()-1,60),ROW()-1,FALSE))</f>
        <v>309.5</v>
      </c>
      <c r="AQ46">
        <f ca="1">IF(AND(ISNUMBER($AQ$247),$B$185=1),$AQ$247,HLOOKUP(INDIRECT(ADDRESS(2,COLUMN())),OFFSET($BN$2,0,0,ROW()-1,60),ROW()-1,FALSE))</f>
        <v>402.2</v>
      </c>
      <c r="AR46">
        <f ca="1">IF(AND(ISNUMBER($AR$247),$B$185=1),$AR$247,HLOOKUP(INDIRECT(ADDRESS(2,COLUMN())),OFFSET($BN$2,0,0,ROW()-1,60),ROW()-1,FALSE))</f>
        <v>417.2</v>
      </c>
      <c r="AS46">
        <f ca="1">IF(AND(ISNUMBER($AS$247),$B$185=1),$AS$247,HLOOKUP(INDIRECT(ADDRESS(2,COLUMN())),OFFSET($BN$2,0,0,ROW()-1,60),ROW()-1,FALSE))</f>
        <v>311.10000000000002</v>
      </c>
      <c r="AT46">
        <f ca="1">IF(AND(ISNUMBER($AT$247),$B$185=1),$AT$247,HLOOKUP(INDIRECT(ADDRESS(2,COLUMN())),OFFSET($BN$2,0,0,ROW()-1,60),ROW()-1,FALSE))</f>
        <v>256.3</v>
      </c>
      <c r="AU46">
        <f ca="1">IF(AND(ISNUMBER($AU$247),$B$185=1),$AU$247,HLOOKUP(INDIRECT(ADDRESS(2,COLUMN())),OFFSET($BN$2,0,0,ROW()-1,60),ROW()-1,FALSE))</f>
        <v>305.7</v>
      </c>
      <c r="AV46">
        <f ca="1">IF(AND(ISNUMBER($AV$247),$B$185=1),$AV$247,HLOOKUP(INDIRECT(ADDRESS(2,COLUMN())),OFFSET($BN$2,0,0,ROW()-1,60),ROW()-1,FALSE))</f>
        <v>291</v>
      </c>
      <c r="AW46">
        <f ca="1">IF(AND(ISNUMBER($AW$247),$B$185=1),$AW$247,HLOOKUP(INDIRECT(ADDRESS(2,COLUMN())),OFFSET($BN$2,0,0,ROW()-1,60),ROW()-1,FALSE))</f>
        <v>197.1</v>
      </c>
      <c r="AX46">
        <f ca="1">IF(AND(ISNUMBER($AX$247),$B$185=1),$AX$247,HLOOKUP(INDIRECT(ADDRESS(2,COLUMN())),OFFSET($BN$2,0,0,ROW()-1,60),ROW()-1,FALSE))</f>
        <v>222.3</v>
      </c>
      <c r="AY46">
        <f ca="1">IF(AND(ISNUMBER($AY$247),$B$185=1),$AY$247,HLOOKUP(INDIRECT(ADDRESS(2,COLUMN())),OFFSET($BN$2,0,0,ROW()-1,60),ROW()-1,FALSE))</f>
        <v>341.9</v>
      </c>
      <c r="AZ46">
        <f ca="1">IF(AND(ISNUMBER($AZ$247),$B$185=1),$AZ$247,HLOOKUP(INDIRECT(ADDRESS(2,COLUMN())),OFFSET($BN$2,0,0,ROW()-1,60),ROW()-1,FALSE))</f>
        <v>435</v>
      </c>
      <c r="BA46">
        <f ca="1">IF(AND(ISNUMBER($BA$247),$B$185=1),$BA$247,HLOOKUP(INDIRECT(ADDRESS(2,COLUMN())),OFFSET($BN$2,0,0,ROW()-1,60),ROW()-1,FALSE))</f>
        <v>426</v>
      </c>
      <c r="BB46">
        <f ca="1">IF(AND(ISNUMBER($BB$247),$B$185=1),$BB$247,HLOOKUP(INDIRECT(ADDRESS(2,COLUMN())),OFFSET($BN$2,0,0,ROW()-1,60),ROW()-1,FALSE))</f>
        <v>549.4</v>
      </c>
      <c r="BC46">
        <f ca="1">IF(AND(ISNUMBER($BC$247),$B$185=1),$BC$247,HLOOKUP(INDIRECT(ADDRESS(2,COLUMN())),OFFSET($BN$2,0,0,ROW()-1,60),ROW()-1,FALSE))</f>
        <v>607.9</v>
      </c>
      <c r="BD46">
        <f ca="1">IF(AND(ISNUMBER($BD$247),$B$185=1),$BD$247,HLOOKUP(INDIRECT(ADDRESS(2,COLUMN())),OFFSET($BN$2,0,0,ROW()-1,60),ROW()-1,FALSE))</f>
        <v>444</v>
      </c>
      <c r="BE46">
        <f ca="1">IF(AND(ISNUMBER($BE$247),$B$185=1),$BE$247,HLOOKUP(INDIRECT(ADDRESS(2,COLUMN())),OFFSET($BN$2,0,0,ROW()-1,60),ROW()-1,FALSE))</f>
        <v>395</v>
      </c>
      <c r="BF46">
        <f ca="1">IF(AND(ISNUMBER($BF$247),$B$185=1),$BF$247,HLOOKUP(INDIRECT(ADDRESS(2,COLUMN())),OFFSET($BN$2,0,0,ROW()-1,60),ROW()-1,FALSE))</f>
        <v>390.2</v>
      </c>
      <c r="BG46">
        <f ca="1">IF(AND(ISNUMBER($BG$247),$B$185=1),$BG$247,HLOOKUP(INDIRECT(ADDRESS(2,COLUMN())),OFFSET($BN$2,0,0,ROW()-1,60),ROW()-1,FALSE))</f>
        <v>374.8</v>
      </c>
      <c r="BH46">
        <f ca="1">IF(AND(ISNUMBER($BH$247),$B$185=1),$BH$247,HLOOKUP(INDIRECT(ADDRESS(2,COLUMN())),OFFSET($BN$2,0,0,ROW()-1,60),ROW()-1,FALSE))</f>
        <v>245</v>
      </c>
      <c r="BI46">
        <f ca="1">IF(AND(ISNUMBER($BI$247),$B$185=1),$BI$247,HLOOKUP(INDIRECT(ADDRESS(2,COLUMN())),OFFSET($BN$2,0,0,ROW()-1,60),ROW()-1,FALSE))</f>
        <v>203</v>
      </c>
      <c r="BJ46">
        <f ca="1">IF(AND(ISNUMBER($BJ$247),$B$185=1),$BJ$247,HLOOKUP(INDIRECT(ADDRESS(2,COLUMN())),OFFSET($BN$2,0,0,ROW()-1,60),ROW()-1,FALSE))</f>
        <v>452</v>
      </c>
      <c r="BK46" t="str">
        <f ca="1">IF(AND(ISNUMBER($BK$247),$B$185=1),$BK$247,HLOOKUP(INDIRECT(ADDRESS(2,COLUMN())),OFFSET($BN$2,0,0,ROW()-1,60),ROW()-1,FALSE))</f>
        <v/>
      </c>
      <c r="BL46">
        <f ca="1">IF(AND(ISNUMBER($BL$247),$B$185=1),$BL$247,HLOOKUP(INDIRECT(ADDRESS(2,COLUMN())),OFFSET($BN$2,0,0,ROW()-1,60),ROW()-1,FALSE))</f>
        <v>291</v>
      </c>
      <c r="BM46" t="str">
        <f ca="1">IF(AND(ISNUMBER($BM$247),$B$185=1),$BM$247,HLOOKUP(INDIRECT(ADDRESS(2,COLUMN())),OFFSET($BN$2,0,0,ROW()-1,60),ROW()-1,FALSE))</f>
        <v/>
      </c>
      <c r="BN46" t="str">
        <f>""</f>
        <v/>
      </c>
      <c r="BO46">
        <f>8.2</f>
        <v>8.1999999999999993</v>
      </c>
      <c r="BP46">
        <f>7.2</f>
        <v>7.2</v>
      </c>
      <c r="BQ46">
        <f>6.5</f>
        <v>6.5</v>
      </c>
      <c r="BR46">
        <f>434.7</f>
        <v>434.7</v>
      </c>
      <c r="BS46">
        <f>848.9</f>
        <v>848.9</v>
      </c>
      <c r="BT46">
        <f>6.8</f>
        <v>6.8</v>
      </c>
      <c r="BU46">
        <f>8.4</f>
        <v>8.4</v>
      </c>
      <c r="BV46">
        <f>554.5</f>
        <v>554.5</v>
      </c>
      <c r="BW46">
        <f>769.9</f>
        <v>769.9</v>
      </c>
      <c r="BX46">
        <f>913</f>
        <v>913</v>
      </c>
      <c r="BY46">
        <f>803.9</f>
        <v>803.9</v>
      </c>
      <c r="BZ46">
        <f>817.9</f>
        <v>817.9</v>
      </c>
      <c r="CA46">
        <f>788.9</f>
        <v>788.9</v>
      </c>
      <c r="CB46">
        <f>906.4</f>
        <v>906.4</v>
      </c>
      <c r="CC46">
        <f>789.8</f>
        <v>789.8</v>
      </c>
      <c r="CD46">
        <f>845.9</f>
        <v>845.9</v>
      </c>
      <c r="CE46">
        <f>0</f>
        <v>0</v>
      </c>
      <c r="CF46">
        <f>989</f>
        <v>989</v>
      </c>
      <c r="CG46">
        <f>477.1</f>
        <v>477.1</v>
      </c>
      <c r="CH46">
        <f>504.9</f>
        <v>504.9</v>
      </c>
      <c r="CI46">
        <f>536.1</f>
        <v>536.1</v>
      </c>
      <c r="CJ46">
        <f>495.5</f>
        <v>495.5</v>
      </c>
      <c r="CK46">
        <f>291.7</f>
        <v>291.7</v>
      </c>
      <c r="CL46">
        <f>305</f>
        <v>305</v>
      </c>
      <c r="CM46">
        <f>384.8</f>
        <v>384.8</v>
      </c>
      <c r="CN46">
        <f>523.7</f>
        <v>523.70000000000005</v>
      </c>
      <c r="CO46">
        <f>291.9</f>
        <v>291.89999999999998</v>
      </c>
      <c r="CP46">
        <f>308.4</f>
        <v>308.39999999999998</v>
      </c>
      <c r="CQ46">
        <f>342.4</f>
        <v>342.4</v>
      </c>
      <c r="CR46">
        <f>385.9</f>
        <v>385.9</v>
      </c>
      <c r="CS46">
        <f>288</f>
        <v>288</v>
      </c>
      <c r="CT46">
        <f>395.9</f>
        <v>395.9</v>
      </c>
      <c r="CU46">
        <f>478.2</f>
        <v>478.2</v>
      </c>
      <c r="CV46">
        <f>463</f>
        <v>463</v>
      </c>
      <c r="CW46">
        <f>315</f>
        <v>315</v>
      </c>
      <c r="CX46">
        <f>309.5</f>
        <v>309.5</v>
      </c>
      <c r="CY46">
        <f>402.2</f>
        <v>402.2</v>
      </c>
      <c r="CZ46">
        <f>417.2</f>
        <v>417.2</v>
      </c>
      <c r="DA46">
        <f>311.1</f>
        <v>311.10000000000002</v>
      </c>
      <c r="DB46">
        <f>256.3</f>
        <v>256.3</v>
      </c>
      <c r="DC46">
        <f>305.7</f>
        <v>305.7</v>
      </c>
      <c r="DD46">
        <f>291</f>
        <v>291</v>
      </c>
      <c r="DE46">
        <f>197.1</f>
        <v>197.1</v>
      </c>
      <c r="DF46">
        <f>222.3</f>
        <v>222.3</v>
      </c>
      <c r="DG46">
        <f>341.9</f>
        <v>341.9</v>
      </c>
      <c r="DH46">
        <f>435</f>
        <v>435</v>
      </c>
      <c r="DI46">
        <f>426</f>
        <v>426</v>
      </c>
      <c r="DJ46">
        <f>549.4</f>
        <v>549.4</v>
      </c>
      <c r="DK46">
        <f>607.9</f>
        <v>607.9</v>
      </c>
      <c r="DL46">
        <f>444</f>
        <v>444</v>
      </c>
      <c r="DM46">
        <f>395</f>
        <v>395</v>
      </c>
      <c r="DN46">
        <f>390.2</f>
        <v>390.2</v>
      </c>
      <c r="DO46">
        <f>374.8</f>
        <v>374.8</v>
      </c>
      <c r="DP46">
        <f>245</f>
        <v>245</v>
      </c>
      <c r="DQ46">
        <f>203</f>
        <v>203</v>
      </c>
      <c r="DR46">
        <f>452</f>
        <v>452</v>
      </c>
      <c r="DS46" t="str">
        <f>""</f>
        <v/>
      </c>
      <c r="DT46">
        <f>291</f>
        <v>291</v>
      </c>
      <c r="DU46" t="str">
        <f>""</f>
        <v/>
      </c>
    </row>
    <row r="47" spans="1:125">
      <c r="A47" t="str">
        <f>"    Bank of America Corp"</f>
        <v xml:space="preserve">    Bank of America Corp</v>
      </c>
      <c r="B47" t="str">
        <f>"BAC US Equity"</f>
        <v>BAC US Equity</v>
      </c>
      <c r="C47" t="str">
        <f t="shared" si="4"/>
        <v>IS688</v>
      </c>
      <c r="D47" t="str">
        <f t="shared" si="5"/>
        <v>IS_RESIDENTIAL_MTG_ORIGINATIONS</v>
      </c>
      <c r="E47" t="str">
        <f t="shared" si="6"/>
        <v>Dynamic</v>
      </c>
      <c r="F47">
        <f ca="1">IF(AND(ISNUMBER($F$248),$B$185=1),$F$248,HLOOKUP(INDIRECT(ADDRESS(2,COLUMN())),OFFSET($BN$2,0,0,ROW()-1,60),ROW()-1,FALSE))</f>
        <v>8896</v>
      </c>
      <c r="G47">
        <f ca="1">IF(AND(ISNUMBER($G$248),$B$185=1),$G$248,HLOOKUP(INDIRECT(ADDRESS(2,COLUMN())),OFFSET($BN$2,0,0,ROW()-1,60),ROW()-1,FALSE))</f>
        <v>7637</v>
      </c>
      <c r="H47">
        <f ca="1">IF(AND(ISNUMBER($H$248),$B$185=1),$H$248,HLOOKUP(INDIRECT(ADDRESS(2,COLUMN())),OFFSET($BN$2,0,0,ROW()-1,60),ROW()-1,FALSE))</f>
        <v>8121</v>
      </c>
      <c r="I47">
        <f ca="1">IF(AND(ISNUMBER($I$248),$B$185=1),$I$248,HLOOKUP(INDIRECT(ADDRESS(2,COLUMN())),OFFSET($BN$2,0,0,ROW()-1,60),ROW()-1,FALSE))</f>
        <v>5334</v>
      </c>
      <c r="J47">
        <f ca="1">IF(AND(ISNUMBER($J$248),$B$185=1),$J$248,HLOOKUP(INDIRECT(ADDRESS(2,COLUMN())),OFFSET($BN$2,0,0,ROW()-1,60),ROW()-1,FALSE))</f>
        <v>6187</v>
      </c>
      <c r="K47">
        <f ca="1">IF(AND(ISNUMBER($K$248),$B$185=1),$K$248,HLOOKUP(INDIRECT(ADDRESS(2,COLUMN())),OFFSET($BN$2,0,0,ROW()-1,60),ROW()-1,FALSE))</f>
        <v>8017</v>
      </c>
      <c r="L47">
        <f ca="1">IF(AND(ISNUMBER($L$248),$B$185=1),$L$248,HLOOKUP(INDIRECT(ADDRESS(2,COLUMN())),OFFSET($BN$2,0,0,ROW()-1,60),ROW()-1,FALSE))</f>
        <v>8482</v>
      </c>
      <c r="M47">
        <f ca="1">IF(AND(ISNUMBER($M$248),$B$185=1),$M$248,HLOOKUP(INDIRECT(ADDRESS(2,COLUMN())),OFFSET($BN$2,0,0,ROW()-1,60),ROW()-1,FALSE))</f>
        <v>6533</v>
      </c>
      <c r="N47">
        <f ca="1">IF(AND(ISNUMBER($N$248),$B$185=1),$N$248,HLOOKUP(INDIRECT(ADDRESS(2,COLUMN())),OFFSET($BN$2,0,0,ROW()-1,60),ROW()-1,FALSE))</f>
        <v>7813</v>
      </c>
      <c r="O47">
        <f ca="1">IF(AND(ISNUMBER($O$248),$B$185=1),$O$248,HLOOKUP(INDIRECT(ADDRESS(2,COLUMN())),OFFSET($BN$2,0,0,ROW()-1,60),ROW()-1,FALSE))</f>
        <v>11144</v>
      </c>
      <c r="P47">
        <f ca="1">IF(AND(ISNUMBER($P$248),$B$185=1),$P$248,HLOOKUP(INDIRECT(ADDRESS(2,COLUMN())),OFFSET($BN$2,0,0,ROW()-1,60),ROW()-1,FALSE))</f>
        <v>17006</v>
      </c>
      <c r="Q47">
        <f ca="1">IF(AND(ISNUMBER($Q$248),$B$185=1),$Q$248,HLOOKUP(INDIRECT(ADDRESS(2,COLUMN())),OFFSET($BN$2,0,0,ROW()-1,60),ROW()-1,FALSE))</f>
        <v>18393</v>
      </c>
      <c r="R47">
        <f ca="1">IF(AND(ISNUMBER($R$248),$B$185=1),$R$248,HLOOKUP(INDIRECT(ADDRESS(2,COLUMN())),OFFSET($BN$2,0,0,ROW()-1,60),ROW()-1,FALSE))</f>
        <v>24664</v>
      </c>
      <c r="S47">
        <f ca="1">IF(AND(ISNUMBER($S$248),$B$185=1),$S$248,HLOOKUP(INDIRECT(ADDRESS(2,COLUMN())),OFFSET($BN$2,0,0,ROW()-1,60),ROW()-1,FALSE))</f>
        <v>22755</v>
      </c>
      <c r="T47">
        <f ca="1">IF(AND(ISNUMBER($T$248),$B$185=1),$T$248,HLOOKUP(INDIRECT(ADDRESS(2,COLUMN())),OFFSET($BN$2,0,0,ROW()-1,60),ROW()-1,FALSE))</f>
        <v>21432</v>
      </c>
      <c r="U47">
        <f ca="1">IF(AND(ISNUMBER($U$248),$B$185=1),$U$248,HLOOKUP(INDIRECT(ADDRESS(2,COLUMN())),OFFSET($BN$2,0,0,ROW()-1,60),ROW()-1,FALSE))</f>
        <v>15736</v>
      </c>
      <c r="V47">
        <f ca="1">IF(AND(ISNUMBER($V$248),$B$185=1),$V$248,HLOOKUP(INDIRECT(ADDRESS(2,COLUMN())),OFFSET($BN$2,0,0,ROW()-1,60),ROW()-1,FALSE))</f>
        <v>14133</v>
      </c>
      <c r="W47">
        <f ca="1">IF(AND(ISNUMBER($W$248),$B$185=1),$W$248,HLOOKUP(INDIRECT(ADDRESS(2,COLUMN())),OFFSET($BN$2,0,0,ROW()-1,60),ROW()-1,FALSE))</f>
        <v>14344</v>
      </c>
      <c r="X47">
        <f ca="1">IF(AND(ISNUMBER($X$248),$B$185=1),$X$248,HLOOKUP(INDIRECT(ADDRESS(2,COLUMN())),OFFSET($BN$2,0,0,ROW()-1,60),ROW()-1,FALSE))</f>
        <v>26807</v>
      </c>
      <c r="Y47">
        <f ca="1">IF(AND(ISNUMBER($Y$248),$B$185=1),$Y$248,HLOOKUP(INDIRECT(ADDRESS(2,COLUMN())),OFFSET($BN$2,0,0,ROW()-1,60),ROW()-1,FALSE))</f>
        <v>21962</v>
      </c>
      <c r="Z47">
        <f ca="1">IF(AND(ISNUMBER($Z$248),$B$185=1),$Z$248,HLOOKUP(INDIRECT(ADDRESS(2,COLUMN())),OFFSET($BN$2,0,0,ROW()-1,60),ROW()-1,FALSE))</f>
        <v>25113</v>
      </c>
      <c r="AA47">
        <f ca="1">IF(AND(ISNUMBER($AA$248),$B$185=1),$AA$248,HLOOKUP(INDIRECT(ADDRESS(2,COLUMN())),OFFSET($BN$2,0,0,ROW()-1,60),ROW()-1,FALSE))</f>
        <v>23203</v>
      </c>
      <c r="AB47">
        <f ca="1">IF(AND(ISNUMBER($AB$248),$B$185=1),$AB$248,HLOOKUP(INDIRECT(ADDRESS(2,COLUMN())),OFFSET($BN$2,0,0,ROW()-1,60),ROW()-1,FALSE))</f>
        <v>20997</v>
      </c>
      <c r="AC47">
        <f ca="1">IF(AND(ISNUMBER($AC$248),$B$185=1),$AC$248,HLOOKUP(INDIRECT(ADDRESS(2,COLUMN())),OFFSET($BN$2,0,0,ROW()-1,60),ROW()-1,FALSE))</f>
        <v>14285</v>
      </c>
      <c r="AD47">
        <f ca="1">IF(AND(ISNUMBER($AD$248),$B$185=1),$AD$248,HLOOKUP(INDIRECT(ADDRESS(2,COLUMN())),OFFSET($BN$2,0,0,ROW()-1,60),ROW()-1,FALSE))</f>
        <v>13057</v>
      </c>
      <c r="AE47">
        <f ca="1">IF(AND(ISNUMBER($AE$248),$B$185=1),$AE$248,HLOOKUP(INDIRECT(ADDRESS(2,COLUMN())),OFFSET($BN$2,0,0,ROW()-1,60),ROW()-1,FALSE))</f>
        <v>14081</v>
      </c>
      <c r="AF47">
        <f ca="1">IF(AND(ISNUMBER($AF$248),$B$185=1),$AF$248,HLOOKUP(INDIRECT(ADDRESS(2,COLUMN())),OFFSET($BN$2,0,0,ROW()-1,60),ROW()-1,FALSE))</f>
        <v>15753</v>
      </c>
      <c r="AG47">
        <f ca="1">IF(AND(ISNUMBER($AG$248),$B$185=1),$AG$248,HLOOKUP(INDIRECT(ADDRESS(2,COLUMN())),OFFSET($BN$2,0,0,ROW()-1,60),ROW()-1,FALSE))</f>
        <v>13173</v>
      </c>
      <c r="AH47">
        <f ca="1">IF(AND(ISNUMBER($AH$248),$B$185=1),$AH$248,HLOOKUP(INDIRECT(ADDRESS(2,COLUMN())),OFFSET($BN$2,0,0,ROW()-1,60),ROW()-1,FALSE))</f>
        <v>16758</v>
      </c>
      <c r="AI47">
        <f ca="1">IF(AND(ISNUMBER($AI$248),$B$185=1),$AI$248,HLOOKUP(INDIRECT(ADDRESS(2,COLUMN())),OFFSET($BN$2,0,0,ROW()-1,60),ROW()-1,FALSE))</f>
        <v>17316</v>
      </c>
      <c r="AJ47">
        <f ca="1">IF(AND(ISNUMBER($AJ$248),$B$185=1),$AJ$248,HLOOKUP(INDIRECT(ADDRESS(2,COLUMN())),OFFSET($BN$2,0,0,ROW()-1,60),ROW()-1,FALSE))</f>
        <v>17936</v>
      </c>
      <c r="AK47">
        <f ca="1">IF(AND(ISNUMBER($AK$248),$B$185=1),$AK$248,HLOOKUP(INDIRECT(ADDRESS(2,COLUMN())),OFFSET($BN$2,0,0,ROW()-1,60),ROW()-1,FALSE))</f>
        <v>15495</v>
      </c>
      <c r="AL47">
        <f ca="1">IF(AND(ISNUMBER($AL$248),$B$185=1),$AL$248,HLOOKUP(INDIRECT(ADDRESS(2,COLUMN())),OFFSET($BN$2,0,0,ROW()-1,60),ROW()-1,FALSE))</f>
        <v>21916</v>
      </c>
      <c r="AM47">
        <f ca="1">IF(AND(ISNUMBER($AM$248),$B$185=1),$AM$248,HLOOKUP(INDIRECT(ADDRESS(2,COLUMN())),OFFSET($BN$2,0,0,ROW()-1,60),ROW()-1,FALSE))</f>
        <v>20406</v>
      </c>
      <c r="AN47">
        <f ca="1">IF(AND(ISNUMBER($AN$248),$B$185=1),$AN$248,HLOOKUP(INDIRECT(ADDRESS(2,COLUMN())),OFFSET($BN$2,0,0,ROW()-1,60),ROW()-1,FALSE))</f>
        <v>20617</v>
      </c>
      <c r="AO47">
        <f ca="1">IF(AND(ISNUMBER($AO$248),$B$185=1),$AO$248,HLOOKUP(INDIRECT(ADDRESS(2,COLUMN())),OFFSET($BN$2,0,0,ROW()-1,60),ROW()-1,FALSE))</f>
        <v>16428</v>
      </c>
      <c r="AP47">
        <f ca="1">IF(AND(ISNUMBER($AP$248),$B$185=1),$AP$248,HLOOKUP(INDIRECT(ADDRESS(2,COLUMN())),OFFSET($BN$2,0,0,ROW()-1,60),ROW()-1,FALSE))</f>
        <v>17037</v>
      </c>
      <c r="AQ47">
        <f ca="1">IF(AND(ISNUMBER($AQ$248),$B$185=1),$AQ$248,HLOOKUP(INDIRECT(ADDRESS(2,COLUMN())),OFFSET($BN$2,0,0,ROW()-1,60),ROW()-1,FALSE))</f>
        <v>16852</v>
      </c>
      <c r="AR47">
        <f ca="1">IF(AND(ISNUMBER($AR$248),$B$185=1),$AR$248,HLOOKUP(INDIRECT(ADDRESS(2,COLUMN())),OFFSET($BN$2,0,0,ROW()-1,60),ROW()-1,FALSE))</f>
        <v>19171</v>
      </c>
      <c r="AS47">
        <f ca="1">IF(AND(ISNUMBER($AS$248),$B$185=1),$AS$248,HLOOKUP(INDIRECT(ADDRESS(2,COLUMN())),OFFSET($BN$2,0,0,ROW()-1,60),ROW()-1,FALSE))</f>
        <v>16930</v>
      </c>
      <c r="AT47">
        <f ca="1">IF(AND(ISNUMBER($AT$248),$B$185=1),$AT$248,HLOOKUP(INDIRECT(ADDRESS(2,COLUMN())),OFFSET($BN$2,0,0,ROW()-1,60),ROW()-1,FALSE))</f>
        <v>15036</v>
      </c>
      <c r="AU47">
        <f ca="1">IF(AND(ISNUMBER($AU$248),$B$185=1),$AU$248,HLOOKUP(INDIRECT(ADDRESS(2,COLUMN())),OFFSET($BN$2,0,0,ROW()-1,60),ROW()-1,FALSE))</f>
        <v>14949</v>
      </c>
      <c r="AV47">
        <f ca="1">IF(AND(ISNUMBER($AV$248),$B$185=1),$AV$248,HLOOKUP(INDIRECT(ADDRESS(2,COLUMN())),OFFSET($BN$2,0,0,ROW()-1,60),ROW()-1,FALSE))</f>
        <v>13701</v>
      </c>
      <c r="AW47">
        <f ca="1">IF(AND(ISNUMBER($AW$248),$B$185=1),$AW$248,HLOOKUP(INDIRECT(ADDRESS(2,COLUMN())),OFFSET($BN$2,0,0,ROW()-1,60),ROW()-1,FALSE))</f>
        <v>10833</v>
      </c>
      <c r="AX47">
        <f ca="1">IF(AND(ISNUMBER($AX$248),$B$185=1),$AX$248,HLOOKUP(INDIRECT(ADDRESS(2,COLUMN())),OFFSET($BN$2,0,0,ROW()-1,60),ROW()-1,FALSE))</f>
        <v>13539</v>
      </c>
      <c r="AY47">
        <f ca="1">IF(AND(ISNUMBER($AY$248),$B$185=1),$AY$248,HLOOKUP(INDIRECT(ADDRESS(2,COLUMN())),OFFSET($BN$2,0,0,ROW()-1,60),ROW()-1,FALSE))</f>
        <v>24429</v>
      </c>
      <c r="AZ47">
        <f ca="1">IF(AND(ISNUMBER($AZ$248),$B$185=1),$AZ$248,HLOOKUP(INDIRECT(ADDRESS(2,COLUMN())),OFFSET($BN$2,0,0,ROW()-1,60),ROW()-1,FALSE))</f>
        <v>26772</v>
      </c>
      <c r="BA47">
        <f ca="1">IF(AND(ISNUMBER($BA$248),$B$185=1),$BA$248,HLOOKUP(INDIRECT(ADDRESS(2,COLUMN())),OFFSET($BN$2,0,0,ROW()-1,60),ROW()-1,FALSE))</f>
        <v>25036</v>
      </c>
      <c r="BB47">
        <f ca="1">IF(AND(ISNUMBER($BB$248),$B$185=1),$BB$248,HLOOKUP(INDIRECT(ADDRESS(2,COLUMN())),OFFSET($BN$2,0,0,ROW()-1,60),ROW()-1,FALSE))</f>
        <v>22478</v>
      </c>
      <c r="BC47">
        <f ca="1">IF(AND(ISNUMBER($BC$248),$B$185=1),$BC$248,HLOOKUP(INDIRECT(ADDRESS(2,COLUMN())),OFFSET($BN$2,0,0,ROW()-1,60),ROW()-1,FALSE))</f>
        <v>21248</v>
      </c>
      <c r="BD47">
        <f ca="1">IF(AND(ISNUMBER($BD$248),$B$185=1),$BD$248,HLOOKUP(INDIRECT(ADDRESS(2,COLUMN())),OFFSET($BN$2,0,0,ROW()-1,60),ROW()-1,FALSE))</f>
        <v>18935</v>
      </c>
      <c r="BE47">
        <f ca="1">IF(AND(ISNUMBER($BE$248),$B$185=1),$BE$248,HLOOKUP(INDIRECT(ADDRESS(2,COLUMN())),OFFSET($BN$2,0,0,ROW()-1,60),ROW()-1,FALSE))</f>
        <v>15998</v>
      </c>
      <c r="BF47">
        <f ca="1">IF(AND(ISNUMBER($BF$248),$B$185=1),$BF$248,HLOOKUP(INDIRECT(ADDRESS(2,COLUMN())),OFFSET($BN$2,0,0,ROW()-1,60),ROW()-1,FALSE))</f>
        <v>22373</v>
      </c>
      <c r="BG47">
        <f ca="1">IF(AND(ISNUMBER($BG$248),$B$185=1),$BG$248,HLOOKUP(INDIRECT(ADDRESS(2,COLUMN())),OFFSET($BN$2,0,0,ROW()-1,60),ROW()-1,FALSE))</f>
        <v>33885</v>
      </c>
      <c r="BH47">
        <f ca="1">IF(AND(ISNUMBER($BH$248),$B$185=1),$BH$248,HLOOKUP(INDIRECT(ADDRESS(2,COLUMN())),OFFSET($BN$2,0,0,ROW()-1,60),ROW()-1,FALSE))</f>
        <v>41424</v>
      </c>
      <c r="BI47">
        <f ca="1">IF(AND(ISNUMBER($BI$248),$B$185=1),$BI$248,HLOOKUP(INDIRECT(ADDRESS(2,COLUMN())),OFFSET($BN$2,0,0,ROW()-1,60),ROW()-1,FALSE))</f>
        <v>58462</v>
      </c>
      <c r="BJ47">
        <f ca="1">IF(AND(ISNUMBER($BJ$248),$B$185=1),$BJ$248,HLOOKUP(INDIRECT(ADDRESS(2,COLUMN())),OFFSET($BN$2,0,0,ROW()-1,60),ROW()-1,FALSE))</f>
        <v>86810</v>
      </c>
      <c r="BK47">
        <f ca="1">IF(AND(ISNUMBER($BK$248),$B$185=1),$BK$248,HLOOKUP(INDIRECT(ADDRESS(2,COLUMN())),OFFSET($BN$2,0,0,ROW()-1,60),ROW()-1,FALSE))</f>
        <v>74061</v>
      </c>
      <c r="BL47">
        <f ca="1">IF(AND(ISNUMBER($BL$248),$B$185=1),$BL$248,HLOOKUP(INDIRECT(ADDRESS(2,COLUMN())),OFFSET($BN$2,0,0,ROW()-1,60),ROW()-1,FALSE))</f>
        <v>74075</v>
      </c>
      <c r="BM47" t="str">
        <f ca="1">IF(AND(ISNUMBER($BM$248),$B$185=1),$BM$248,HLOOKUP(INDIRECT(ADDRESS(2,COLUMN())),OFFSET($BN$2,0,0,ROW()-1,60),ROW()-1,FALSE))</f>
        <v/>
      </c>
      <c r="BN47">
        <f>8896</f>
        <v>8896</v>
      </c>
      <c r="BO47">
        <f>7637</f>
        <v>7637</v>
      </c>
      <c r="BP47">
        <f>8121</f>
        <v>8121</v>
      </c>
      <c r="BQ47">
        <f>5334</f>
        <v>5334</v>
      </c>
      <c r="BR47">
        <f>6187</f>
        <v>6187</v>
      </c>
      <c r="BS47">
        <f>8017</f>
        <v>8017</v>
      </c>
      <c r="BT47">
        <f>8482</f>
        <v>8482</v>
      </c>
      <c r="BU47">
        <f>6533</f>
        <v>6533</v>
      </c>
      <c r="BV47">
        <f>7813</f>
        <v>7813</v>
      </c>
      <c r="BW47">
        <f>11144</f>
        <v>11144</v>
      </c>
      <c r="BX47">
        <f>17006</f>
        <v>17006</v>
      </c>
      <c r="BY47">
        <f>18393</f>
        <v>18393</v>
      </c>
      <c r="BZ47">
        <f>24664</f>
        <v>24664</v>
      </c>
      <c r="CA47">
        <f>22755</f>
        <v>22755</v>
      </c>
      <c r="CB47">
        <f>21432</f>
        <v>21432</v>
      </c>
      <c r="CC47">
        <f>15736</f>
        <v>15736</v>
      </c>
      <c r="CD47">
        <f>14133</f>
        <v>14133</v>
      </c>
      <c r="CE47">
        <f>14344</f>
        <v>14344</v>
      </c>
      <c r="CF47">
        <f>26807</f>
        <v>26807</v>
      </c>
      <c r="CG47">
        <f>21962</f>
        <v>21962</v>
      </c>
      <c r="CH47">
        <f>25113</f>
        <v>25113</v>
      </c>
      <c r="CI47">
        <f>23203</f>
        <v>23203</v>
      </c>
      <c r="CJ47">
        <f>20997</f>
        <v>20997</v>
      </c>
      <c r="CK47">
        <f>14285</f>
        <v>14285</v>
      </c>
      <c r="CL47">
        <f>13057</f>
        <v>13057</v>
      </c>
      <c r="CM47">
        <f>14081</f>
        <v>14081</v>
      </c>
      <c r="CN47">
        <f>15753</f>
        <v>15753</v>
      </c>
      <c r="CO47">
        <f>13173</f>
        <v>13173</v>
      </c>
      <c r="CP47">
        <f>16758</f>
        <v>16758</v>
      </c>
      <c r="CQ47">
        <f>17316</f>
        <v>17316</v>
      </c>
      <c r="CR47">
        <f>17936</f>
        <v>17936</v>
      </c>
      <c r="CS47">
        <f>15495</f>
        <v>15495</v>
      </c>
      <c r="CT47">
        <f>21916</f>
        <v>21916</v>
      </c>
      <c r="CU47">
        <f>20406</f>
        <v>20406</v>
      </c>
      <c r="CV47">
        <f>20617</f>
        <v>20617</v>
      </c>
      <c r="CW47">
        <f>16428</f>
        <v>16428</v>
      </c>
      <c r="CX47">
        <f>17037</f>
        <v>17037</v>
      </c>
      <c r="CY47">
        <f>16852</f>
        <v>16852</v>
      </c>
      <c r="CZ47">
        <f>19171</f>
        <v>19171</v>
      </c>
      <c r="DA47">
        <f>16930</f>
        <v>16930</v>
      </c>
      <c r="DB47">
        <f>15036</f>
        <v>15036</v>
      </c>
      <c r="DC47">
        <f>14949</f>
        <v>14949</v>
      </c>
      <c r="DD47">
        <f>13701</f>
        <v>13701</v>
      </c>
      <c r="DE47">
        <f>10833</f>
        <v>10833</v>
      </c>
      <c r="DF47">
        <f>13539</f>
        <v>13539</v>
      </c>
      <c r="DG47">
        <f>24429</f>
        <v>24429</v>
      </c>
      <c r="DH47">
        <f>26772</f>
        <v>26772</v>
      </c>
      <c r="DI47">
        <f>25036</f>
        <v>25036</v>
      </c>
      <c r="DJ47">
        <f>22478</f>
        <v>22478</v>
      </c>
      <c r="DK47">
        <f>21248</f>
        <v>21248</v>
      </c>
      <c r="DL47">
        <f>18935</f>
        <v>18935</v>
      </c>
      <c r="DM47">
        <f>15998</f>
        <v>15998</v>
      </c>
      <c r="DN47">
        <f>22373</f>
        <v>22373</v>
      </c>
      <c r="DO47">
        <f>33885</f>
        <v>33885</v>
      </c>
      <c r="DP47">
        <f>41424</f>
        <v>41424</v>
      </c>
      <c r="DQ47">
        <f>58462</f>
        <v>58462</v>
      </c>
      <c r="DR47">
        <f>86810</f>
        <v>86810</v>
      </c>
      <c r="DS47">
        <f>74061</f>
        <v>74061</v>
      </c>
      <c r="DT47">
        <f>74075</f>
        <v>74075</v>
      </c>
      <c r="DU47" t="str">
        <f>""</f>
        <v/>
      </c>
    </row>
    <row r="48" spans="1:125">
      <c r="A48" t="str">
        <f>"    BB&amp;T Corp"</f>
        <v xml:space="preserve">    BB&amp;T Corp</v>
      </c>
      <c r="B48" t="str">
        <f>"BBT US Equity"</f>
        <v>BBT US Equity</v>
      </c>
      <c r="C48" t="str">
        <f t="shared" si="4"/>
        <v>IS688</v>
      </c>
      <c r="D48" t="str">
        <f t="shared" si="5"/>
        <v>IS_RESIDENTIAL_MTG_ORIGINATIONS</v>
      </c>
      <c r="E48" t="str">
        <f t="shared" si="6"/>
        <v>Dynamic</v>
      </c>
      <c r="F48" t="str">
        <f ca="1">IF(AND(ISNUMBER($F$249),$B$185=1),$F$249,HLOOKUP(INDIRECT(ADDRESS(2,COLUMN())),OFFSET($BN$2,0,0,ROW()-1,60),ROW()-1,FALSE))</f>
        <v/>
      </c>
      <c r="G48" t="str">
        <f ca="1">IF(AND(ISNUMBER($G$249),$B$185=1),$G$249,HLOOKUP(INDIRECT(ADDRESS(2,COLUMN())),OFFSET($BN$2,0,0,ROW()-1,60),ROW()-1,FALSE))</f>
        <v/>
      </c>
      <c r="H48" t="str">
        <f ca="1">IF(AND(ISNUMBER($H$249),$B$185=1),$H$249,HLOOKUP(INDIRECT(ADDRESS(2,COLUMN())),OFFSET($BN$2,0,0,ROW()-1,60),ROW()-1,FALSE))</f>
        <v/>
      </c>
      <c r="I48" t="str">
        <f ca="1">IF(AND(ISNUMBER($I$249),$B$185=1),$I$249,HLOOKUP(INDIRECT(ADDRESS(2,COLUMN())),OFFSET($BN$2,0,0,ROW()-1,60),ROW()-1,FALSE))</f>
        <v/>
      </c>
      <c r="J48" t="str">
        <f ca="1">IF(AND(ISNUMBER($J$249),$B$185=1),$J$249,HLOOKUP(INDIRECT(ADDRESS(2,COLUMN())),OFFSET($BN$2,0,0,ROW()-1,60),ROW()-1,FALSE))</f>
        <v/>
      </c>
      <c r="K48" t="str">
        <f ca="1">IF(AND(ISNUMBER($K$249),$B$185=1),$K$249,HLOOKUP(INDIRECT(ADDRESS(2,COLUMN())),OFFSET($BN$2,0,0,ROW()-1,60),ROW()-1,FALSE))</f>
        <v/>
      </c>
      <c r="L48" t="str">
        <f ca="1">IF(AND(ISNUMBER($L$249),$B$185=1),$L$249,HLOOKUP(INDIRECT(ADDRESS(2,COLUMN())),OFFSET($BN$2,0,0,ROW()-1,60),ROW()-1,FALSE))</f>
        <v/>
      </c>
      <c r="M48" t="str">
        <f ca="1">IF(AND(ISNUMBER($M$249),$B$185=1),$M$249,HLOOKUP(INDIRECT(ADDRESS(2,COLUMN())),OFFSET($BN$2,0,0,ROW()-1,60),ROW()-1,FALSE))</f>
        <v/>
      </c>
      <c r="N48" t="str">
        <f ca="1">IF(AND(ISNUMBER($N$249),$B$185=1),$N$249,HLOOKUP(INDIRECT(ADDRESS(2,COLUMN())),OFFSET($BN$2,0,0,ROW()-1,60),ROW()-1,FALSE))</f>
        <v/>
      </c>
      <c r="O48" t="str">
        <f ca="1">IF(AND(ISNUMBER($O$249),$B$185=1),$O$249,HLOOKUP(INDIRECT(ADDRESS(2,COLUMN())),OFFSET($BN$2,0,0,ROW()-1,60),ROW()-1,FALSE))</f>
        <v/>
      </c>
      <c r="P48" t="str">
        <f ca="1">IF(AND(ISNUMBER($P$249),$B$185=1),$P$249,HLOOKUP(INDIRECT(ADDRESS(2,COLUMN())),OFFSET($BN$2,0,0,ROW()-1,60),ROW()-1,FALSE))</f>
        <v/>
      </c>
      <c r="Q48" t="str">
        <f ca="1">IF(AND(ISNUMBER($Q$249),$B$185=1),$Q$249,HLOOKUP(INDIRECT(ADDRESS(2,COLUMN())),OFFSET($BN$2,0,0,ROW()-1,60),ROW()-1,FALSE))</f>
        <v/>
      </c>
      <c r="R48" t="str">
        <f ca="1">IF(AND(ISNUMBER($R$249),$B$185=1),$R$249,HLOOKUP(INDIRECT(ADDRESS(2,COLUMN())),OFFSET($BN$2,0,0,ROW()-1,60),ROW()-1,FALSE))</f>
        <v/>
      </c>
      <c r="S48" t="str">
        <f ca="1">IF(AND(ISNUMBER($S$249),$B$185=1),$S$249,HLOOKUP(INDIRECT(ADDRESS(2,COLUMN())),OFFSET($BN$2,0,0,ROW()-1,60),ROW()-1,FALSE))</f>
        <v/>
      </c>
      <c r="T48">
        <f ca="1">IF(AND(ISNUMBER($T$249),$B$185=1),$T$249,HLOOKUP(INDIRECT(ADDRESS(2,COLUMN())),OFFSET($BN$2,0,0,ROW()-1,60),ROW()-1,FALSE))</f>
        <v>14301</v>
      </c>
      <c r="U48">
        <f ca="1">IF(AND(ISNUMBER($U$249),$B$185=1),$U$249,HLOOKUP(INDIRECT(ADDRESS(2,COLUMN())),OFFSET($BN$2,0,0,ROW()-1,60),ROW()-1,FALSE))</f>
        <v>13075</v>
      </c>
      <c r="V48">
        <f ca="1">IF(AND(ISNUMBER($V$249),$B$185=1),$V$249,HLOOKUP(INDIRECT(ADDRESS(2,COLUMN())),OFFSET($BN$2,0,0,ROW()-1,60),ROW()-1,FALSE))</f>
        <v>13235</v>
      </c>
      <c r="W48">
        <f ca="1">IF(AND(ISNUMBER($W$249),$B$185=1),$W$249,HLOOKUP(INDIRECT(ADDRESS(2,COLUMN())),OFFSET($BN$2,0,0,ROW()-1,60),ROW()-1,FALSE))</f>
        <v>15346</v>
      </c>
      <c r="X48">
        <f ca="1">IF(AND(ISNUMBER($X$249),$B$185=1),$X$249,HLOOKUP(INDIRECT(ADDRESS(2,COLUMN())),OFFSET($BN$2,0,0,ROW()-1,60),ROW()-1,FALSE))</f>
        <v>14631</v>
      </c>
      <c r="Y48">
        <f ca="1">IF(AND(ISNUMBER($Y$249),$B$185=1),$Y$249,HLOOKUP(INDIRECT(ADDRESS(2,COLUMN())),OFFSET($BN$2,0,0,ROW()-1,60),ROW()-1,FALSE))</f>
        <v>11708</v>
      </c>
      <c r="Z48">
        <f ca="1">IF(AND(ISNUMBER($Z$249),$B$185=1),$Z$249,HLOOKUP(INDIRECT(ADDRESS(2,COLUMN())),OFFSET($BN$2,0,0,ROW()-1,60),ROW()-1,FALSE))</f>
        <v>7523</v>
      </c>
      <c r="AA48">
        <f ca="1">IF(AND(ISNUMBER($AA$249),$B$185=1),$AA$249,HLOOKUP(INDIRECT(ADDRESS(2,COLUMN())),OFFSET($BN$2,0,0,ROW()-1,60),ROW()-1,FALSE))</f>
        <v>5274</v>
      </c>
      <c r="AB48">
        <f ca="1">IF(AND(ISNUMBER($AB$249),$B$185=1),$AB$249,HLOOKUP(INDIRECT(ADDRESS(2,COLUMN())),OFFSET($BN$2,0,0,ROW()-1,60),ROW()-1,FALSE))</f>
        <v>4735</v>
      </c>
      <c r="AC48">
        <f ca="1">IF(AND(ISNUMBER($AC$249),$B$185=1),$AC$249,HLOOKUP(INDIRECT(ADDRESS(2,COLUMN())),OFFSET($BN$2,0,0,ROW()-1,60),ROW()-1,FALSE))</f>
        <v>2383</v>
      </c>
      <c r="AD48">
        <f ca="1">IF(AND(ISNUMBER($AD$249),$B$185=1),$AD$249,HLOOKUP(INDIRECT(ADDRESS(2,COLUMN())),OFFSET($BN$2,0,0,ROW()-1,60),ROW()-1,FALSE))</f>
        <v>2735</v>
      </c>
      <c r="AE48">
        <f ca="1">IF(AND(ISNUMBER($AE$249),$B$185=1),$AE$249,HLOOKUP(INDIRECT(ADDRESS(2,COLUMN())),OFFSET($BN$2,0,0,ROW()-1,60),ROW()-1,FALSE))</f>
        <v>4265</v>
      </c>
      <c r="AF48">
        <f ca="1">IF(AND(ISNUMBER($AF$249),$B$185=1),$AF$249,HLOOKUP(INDIRECT(ADDRESS(2,COLUMN())),OFFSET($BN$2,0,0,ROW()-1,60),ROW()-1,FALSE))</f>
        <v>4411</v>
      </c>
      <c r="AG48">
        <f ca="1">IF(AND(ISNUMBER($AG$249),$B$185=1),$AG$249,HLOOKUP(INDIRECT(ADDRESS(2,COLUMN())),OFFSET($BN$2,0,0,ROW()-1,60),ROW()-1,FALSE))</f>
        <v>3328</v>
      </c>
      <c r="AH48">
        <f ca="1">IF(AND(ISNUMBER($AH$249),$B$185=1),$AH$249,HLOOKUP(INDIRECT(ADDRESS(2,COLUMN())),OFFSET($BN$2,0,0,ROW()-1,60),ROW()-1,FALSE))</f>
        <v>3970</v>
      </c>
      <c r="AI48">
        <f ca="1">IF(AND(ISNUMBER($AI$249),$B$185=1),$AI$249,HLOOKUP(INDIRECT(ADDRESS(2,COLUMN())),OFFSET($BN$2,0,0,ROW()-1,60),ROW()-1,FALSE))</f>
        <v>3463</v>
      </c>
      <c r="AJ48">
        <f ca="1">IF(AND(ISNUMBER($AJ$249),$B$185=1),$AJ$249,HLOOKUP(INDIRECT(ADDRESS(2,COLUMN())),OFFSET($BN$2,0,0,ROW()-1,60),ROW()-1,FALSE))</f>
        <v>3524</v>
      </c>
      <c r="AK48">
        <f ca="1">IF(AND(ISNUMBER($AK$249),$B$185=1),$AK$249,HLOOKUP(INDIRECT(ADDRESS(2,COLUMN())),OFFSET($BN$2,0,0,ROW()-1,60),ROW()-1,FALSE))</f>
        <v>3993</v>
      </c>
      <c r="AL48">
        <f ca="1">IF(AND(ISNUMBER($AL$249),$B$185=1),$AL$249,HLOOKUP(INDIRECT(ADDRESS(2,COLUMN())),OFFSET($BN$2,0,0,ROW()-1,60),ROW()-1,FALSE))</f>
        <v>5198</v>
      </c>
      <c r="AM48">
        <f ca="1">IF(AND(ISNUMBER($AM$249),$B$185=1),$AM$249,HLOOKUP(INDIRECT(ADDRESS(2,COLUMN())),OFFSET($BN$2,0,0,ROW()-1,60),ROW()-1,FALSE))</f>
        <v>6264</v>
      </c>
      <c r="AN48">
        <f ca="1">IF(AND(ISNUMBER($AN$249),$B$185=1),$AN$249,HLOOKUP(INDIRECT(ADDRESS(2,COLUMN())),OFFSET($BN$2,0,0,ROW()-1,60),ROW()-1,FALSE))</f>
        <v>5605</v>
      </c>
      <c r="AO48">
        <f ca="1">IF(AND(ISNUMBER($AO$249),$B$185=1),$AO$249,HLOOKUP(INDIRECT(ADDRESS(2,COLUMN())),OFFSET($BN$2,0,0,ROW()-1,60),ROW()-1,FALSE))</f>
        <v>3602</v>
      </c>
      <c r="AP48">
        <f ca="1">IF(AND(ISNUMBER($AP$249),$B$185=1),$AP$249,HLOOKUP(INDIRECT(ADDRESS(2,COLUMN())),OFFSET($BN$2,0,0,ROW()-1,60),ROW()-1,FALSE))</f>
        <v>3535</v>
      </c>
      <c r="AQ48">
        <f ca="1">IF(AND(ISNUMBER($AQ$249),$B$185=1),$AQ$249,HLOOKUP(INDIRECT(ADDRESS(2,COLUMN())),OFFSET($BN$2,0,0,ROW()-1,60),ROW()-1,FALSE))</f>
        <v>5039</v>
      </c>
      <c r="AR48">
        <f ca="1">IF(AND(ISNUMBER($AR$249),$B$185=1),$AR$249,HLOOKUP(INDIRECT(ADDRESS(2,COLUMN())),OFFSET($BN$2,0,0,ROW()-1,60),ROW()-1,FALSE))</f>
        <v>5498</v>
      </c>
      <c r="AS48">
        <f ca="1">IF(AND(ISNUMBER($AS$249),$B$185=1),$AS$249,HLOOKUP(INDIRECT(ADDRESS(2,COLUMN())),OFFSET($BN$2,0,0,ROW()-1,60),ROW()-1,FALSE))</f>
        <v>4035</v>
      </c>
      <c r="AT48">
        <f ca="1">IF(AND(ISNUMBER($AT$249),$B$185=1),$AT$249,HLOOKUP(INDIRECT(ADDRESS(2,COLUMN())),OFFSET($BN$2,0,0,ROW()-1,60),ROW()-1,FALSE))</f>
        <v>3888</v>
      </c>
      <c r="AU48">
        <f ca="1">IF(AND(ISNUMBER($AU$249),$B$185=1),$AU$249,HLOOKUP(INDIRECT(ADDRESS(2,COLUMN())),OFFSET($BN$2,0,0,ROW()-1,60),ROW()-1,FALSE))</f>
        <v>4999</v>
      </c>
      <c r="AV48">
        <f ca="1">IF(AND(ISNUMBER($AV$249),$B$185=1),$AV$249,HLOOKUP(INDIRECT(ADDRESS(2,COLUMN())),OFFSET($BN$2,0,0,ROW()-1,60),ROW()-1,FALSE))</f>
        <v>4710</v>
      </c>
      <c r="AW48">
        <f ca="1">IF(AND(ISNUMBER($AW$249),$B$185=1),$AW$249,HLOOKUP(INDIRECT(ADDRESS(2,COLUMN())),OFFSET($BN$2,0,0,ROW()-1,60),ROW()-1,FALSE))</f>
        <v>3804</v>
      </c>
      <c r="AX48">
        <f ca="1">IF(AND(ISNUMBER($AX$249),$B$185=1),$AX$249,HLOOKUP(INDIRECT(ADDRESS(2,COLUMN())),OFFSET($BN$2,0,0,ROW()-1,60),ROW()-1,FALSE))</f>
        <v>5344</v>
      </c>
      <c r="AY48">
        <f ca="1">IF(AND(ISNUMBER($AY$249),$B$185=1),$AY$249,HLOOKUP(INDIRECT(ADDRESS(2,COLUMN())),OFFSET($BN$2,0,0,ROW()-1,60),ROW()-1,FALSE))</f>
        <v>8327</v>
      </c>
      <c r="AZ48">
        <f ca="1">IF(AND(ISNUMBER($AZ$249),$B$185=1),$AZ$249,HLOOKUP(INDIRECT(ADDRESS(2,COLUMN())),OFFSET($BN$2,0,0,ROW()-1,60),ROW()-1,FALSE))</f>
        <v>9260</v>
      </c>
      <c r="BA48">
        <f ca="1">IF(AND(ISNUMBER($BA$249),$B$185=1),$BA$249,HLOOKUP(INDIRECT(ADDRESS(2,COLUMN())),OFFSET($BN$2,0,0,ROW()-1,60),ROW()-1,FALSE))</f>
        <v>8665</v>
      </c>
      <c r="BB48">
        <f ca="1">IF(AND(ISNUMBER($BB$249),$B$185=1),$BB$249,HLOOKUP(INDIRECT(ADDRESS(2,COLUMN())),OFFSET($BN$2,0,0,ROW()-1,60),ROW()-1,FALSE))</f>
        <v>8570</v>
      </c>
      <c r="BC48">
        <f ca="1">IF(AND(ISNUMBER($BC$249),$B$185=1),$BC$249,HLOOKUP(INDIRECT(ADDRESS(2,COLUMN())),OFFSET($BN$2,0,0,ROW()-1,60),ROW()-1,FALSE))</f>
        <v>8234</v>
      </c>
      <c r="BD48">
        <f ca="1">IF(AND(ISNUMBER($BD$249),$B$185=1),$BD$249,HLOOKUP(INDIRECT(ADDRESS(2,COLUMN())),OFFSET($BN$2,0,0,ROW()-1,60),ROW()-1,FALSE))</f>
        <v>8045</v>
      </c>
      <c r="BE48">
        <f ca="1">IF(AND(ISNUMBER($BE$249),$B$185=1),$BE$249,HLOOKUP(INDIRECT(ADDRESS(2,COLUMN())),OFFSET($BN$2,0,0,ROW()-1,60),ROW()-1,FALSE))</f>
        <v>8250</v>
      </c>
      <c r="BF48">
        <f ca="1">IF(AND(ISNUMBER($BF$249),$B$185=1),$BF$249,HLOOKUP(INDIRECT(ADDRESS(2,COLUMN())),OFFSET($BN$2,0,0,ROW()-1,60),ROW()-1,FALSE))</f>
        <v>8424</v>
      </c>
      <c r="BG48">
        <f ca="1">IF(AND(ISNUMBER($BG$249),$B$185=1),$BG$249,HLOOKUP(INDIRECT(ADDRESS(2,COLUMN())),OFFSET($BN$2,0,0,ROW()-1,60),ROW()-1,FALSE))</f>
        <v>5549</v>
      </c>
      <c r="BH48">
        <f ca="1">IF(AND(ISNUMBER($BH$249),$B$185=1),$BH$249,HLOOKUP(INDIRECT(ADDRESS(2,COLUMN())),OFFSET($BN$2,0,0,ROW()-1,60),ROW()-1,FALSE))</f>
        <v>3888</v>
      </c>
      <c r="BI48">
        <f ca="1">IF(AND(ISNUMBER($BI$249),$B$185=1),$BI$249,HLOOKUP(INDIRECT(ADDRESS(2,COLUMN())),OFFSET($BN$2,0,0,ROW()-1,60),ROW()-1,FALSE))</f>
        <v>5802</v>
      </c>
      <c r="BJ48">
        <f ca="1">IF(AND(ISNUMBER($BJ$249),$B$185=1),$BJ$249,HLOOKUP(INDIRECT(ADDRESS(2,COLUMN())),OFFSET($BN$2,0,0,ROW()-1,60),ROW()-1,FALSE))</f>
        <v>8406</v>
      </c>
      <c r="BK48">
        <f ca="1">IF(AND(ISNUMBER($BK$249),$B$185=1),$BK$249,HLOOKUP(INDIRECT(ADDRESS(2,COLUMN())),OFFSET($BN$2,0,0,ROW()-1,60),ROW()-1,FALSE))</f>
        <v>6656</v>
      </c>
      <c r="BL48">
        <f ca="1">IF(AND(ISNUMBER($BL$249),$B$185=1),$BL$249,HLOOKUP(INDIRECT(ADDRESS(2,COLUMN())),OFFSET($BN$2,0,0,ROW()-1,60),ROW()-1,FALSE))</f>
        <v>5013</v>
      </c>
      <c r="BM48">
        <f ca="1">IF(AND(ISNUMBER($BM$249),$B$185=1),$BM$249,HLOOKUP(INDIRECT(ADDRESS(2,COLUMN())),OFFSET($BN$2,0,0,ROW()-1,60),ROW()-1,FALSE))</f>
        <v>4791</v>
      </c>
      <c r="BN48" t="str">
        <f>""</f>
        <v/>
      </c>
      <c r="BO48" t="str">
        <f>""</f>
        <v/>
      </c>
      <c r="BP48" t="str">
        <f>""</f>
        <v/>
      </c>
      <c r="BQ48" t="str">
        <f>""</f>
        <v/>
      </c>
      <c r="BR48" t="str">
        <f>""</f>
        <v/>
      </c>
      <c r="BS48" t="str">
        <f>""</f>
        <v/>
      </c>
      <c r="BT48" t="str">
        <f>""</f>
        <v/>
      </c>
      <c r="BU48" t="str">
        <f>""</f>
        <v/>
      </c>
      <c r="BV48" t="str">
        <f>""</f>
        <v/>
      </c>
      <c r="BW48" t="str">
        <f>""</f>
        <v/>
      </c>
      <c r="BX48" t="str">
        <f>""</f>
        <v/>
      </c>
      <c r="BY48" t="str">
        <f>""</f>
        <v/>
      </c>
      <c r="BZ48" t="str">
        <f>""</f>
        <v/>
      </c>
      <c r="CA48" t="str">
        <f>""</f>
        <v/>
      </c>
      <c r="CB48">
        <f>14301</f>
        <v>14301</v>
      </c>
      <c r="CC48">
        <f>13075</f>
        <v>13075</v>
      </c>
      <c r="CD48">
        <f>13235</f>
        <v>13235</v>
      </c>
      <c r="CE48">
        <f>15346</f>
        <v>15346</v>
      </c>
      <c r="CF48">
        <f>14631</f>
        <v>14631</v>
      </c>
      <c r="CG48">
        <f>11708</f>
        <v>11708</v>
      </c>
      <c r="CH48">
        <f>7523</f>
        <v>7523</v>
      </c>
      <c r="CI48">
        <f>5274</f>
        <v>5274</v>
      </c>
      <c r="CJ48">
        <f>4735</f>
        <v>4735</v>
      </c>
      <c r="CK48">
        <f>2383</f>
        <v>2383</v>
      </c>
      <c r="CL48">
        <f>2735</f>
        <v>2735</v>
      </c>
      <c r="CM48">
        <f>4265</f>
        <v>4265</v>
      </c>
      <c r="CN48">
        <f>4411</f>
        <v>4411</v>
      </c>
      <c r="CO48">
        <f>3328</f>
        <v>3328</v>
      </c>
      <c r="CP48">
        <f>3970</f>
        <v>3970</v>
      </c>
      <c r="CQ48">
        <f>3463</f>
        <v>3463</v>
      </c>
      <c r="CR48">
        <f>3524</f>
        <v>3524</v>
      </c>
      <c r="CS48">
        <f>3993</f>
        <v>3993</v>
      </c>
      <c r="CT48">
        <f>5198</f>
        <v>5198</v>
      </c>
      <c r="CU48">
        <f>6264</f>
        <v>6264</v>
      </c>
      <c r="CV48">
        <f>5605</f>
        <v>5605</v>
      </c>
      <c r="CW48">
        <f>3602</f>
        <v>3602</v>
      </c>
      <c r="CX48">
        <f>3535</f>
        <v>3535</v>
      </c>
      <c r="CY48">
        <f>5039</f>
        <v>5039</v>
      </c>
      <c r="CZ48">
        <f>5498</f>
        <v>5498</v>
      </c>
      <c r="DA48">
        <f>4035</f>
        <v>4035</v>
      </c>
      <c r="DB48">
        <f>3888</f>
        <v>3888</v>
      </c>
      <c r="DC48">
        <f>4999</f>
        <v>4999</v>
      </c>
      <c r="DD48">
        <f>4710</f>
        <v>4710</v>
      </c>
      <c r="DE48">
        <f>3804</f>
        <v>3804</v>
      </c>
      <c r="DF48">
        <f>5344</f>
        <v>5344</v>
      </c>
      <c r="DG48">
        <f>8327</f>
        <v>8327</v>
      </c>
      <c r="DH48">
        <f>9260</f>
        <v>9260</v>
      </c>
      <c r="DI48">
        <f>8665</f>
        <v>8665</v>
      </c>
      <c r="DJ48">
        <f>8570</f>
        <v>8570</v>
      </c>
      <c r="DK48">
        <f>8234</f>
        <v>8234</v>
      </c>
      <c r="DL48">
        <f>8045</f>
        <v>8045</v>
      </c>
      <c r="DM48">
        <f>8250</f>
        <v>8250</v>
      </c>
      <c r="DN48">
        <f>8424</f>
        <v>8424</v>
      </c>
      <c r="DO48">
        <f>5549</f>
        <v>5549</v>
      </c>
      <c r="DP48">
        <f>3888</f>
        <v>3888</v>
      </c>
      <c r="DQ48">
        <f>5802</f>
        <v>5802</v>
      </c>
      <c r="DR48">
        <f>8406</f>
        <v>8406</v>
      </c>
      <c r="DS48">
        <f>6656</f>
        <v>6656</v>
      </c>
      <c r="DT48">
        <f>5013</f>
        <v>5013</v>
      </c>
      <c r="DU48">
        <f>4791</f>
        <v>4791</v>
      </c>
    </row>
    <row r="49" spans="1:125">
      <c r="A49" t="str">
        <f>"    Citigroup Inc"</f>
        <v xml:space="preserve">    Citigroup Inc</v>
      </c>
      <c r="B49" t="str">
        <f>"C US Equity"</f>
        <v>C US Equity</v>
      </c>
      <c r="C49" t="str">
        <f t="shared" si="4"/>
        <v>IS688</v>
      </c>
      <c r="D49" t="str">
        <f t="shared" si="5"/>
        <v>IS_RESIDENTIAL_MTG_ORIGINATIONS</v>
      </c>
      <c r="E49" t="str">
        <f t="shared" si="6"/>
        <v>Dynamic</v>
      </c>
      <c r="F49">
        <f ca="1">IF(AND(ISNUMBER($F$250),$B$185=1),$F$250,HLOOKUP(INDIRECT(ADDRESS(2,COLUMN())),OFFSET($BN$2,0,0,ROW()-1,60),ROW()-1,FALSE))</f>
        <v>4200</v>
      </c>
      <c r="G49">
        <f ca="1">IF(AND(ISNUMBER($G$250),$B$185=1),$G$250,HLOOKUP(INDIRECT(ADDRESS(2,COLUMN())),OFFSET($BN$2,0,0,ROW()-1,60),ROW()-1,FALSE))</f>
        <v>4600</v>
      </c>
      <c r="H49">
        <f ca="1">IF(AND(ISNUMBER($H$250),$B$185=1),$H$250,HLOOKUP(INDIRECT(ADDRESS(2,COLUMN())),OFFSET($BN$2,0,0,ROW()-1,60),ROW()-1,FALSE))</f>
        <v>4300</v>
      </c>
      <c r="I49">
        <f ca="1">IF(AND(ISNUMBER($I$250),$B$185=1),$I$250,HLOOKUP(INDIRECT(ADDRESS(2,COLUMN())),OFFSET($BN$2,0,0,ROW()-1,60),ROW()-1,FALSE))</f>
        <v>3100</v>
      </c>
      <c r="J49">
        <f ca="1">IF(AND(ISNUMBER($J$250),$B$185=1),$J$250,HLOOKUP(INDIRECT(ADDRESS(2,COLUMN())),OFFSET($BN$2,0,0,ROW()-1,60),ROW()-1,FALSE))</f>
        <v>2800</v>
      </c>
      <c r="K49">
        <f ca="1">IF(AND(ISNUMBER($K$250),$B$185=1),$K$250,HLOOKUP(INDIRECT(ADDRESS(2,COLUMN())),OFFSET($BN$2,0,0,ROW()-1,60),ROW()-1,FALSE))</f>
        <v>3900</v>
      </c>
      <c r="L49">
        <f ca="1">IF(AND(ISNUMBER($L$250),$B$185=1),$L$250,HLOOKUP(INDIRECT(ADDRESS(2,COLUMN())),OFFSET($BN$2,0,0,ROW()-1,60),ROW()-1,FALSE))</f>
        <v>4500</v>
      </c>
      <c r="M49">
        <f ca="1">IF(AND(ISNUMBER($M$250),$B$185=1),$M$250,HLOOKUP(INDIRECT(ADDRESS(2,COLUMN())),OFFSET($BN$2,0,0,ROW()-1,60),ROW()-1,FALSE))</f>
        <v>3300</v>
      </c>
      <c r="N49">
        <f ca="1">IF(AND(ISNUMBER($N$250),$B$185=1),$N$250,HLOOKUP(INDIRECT(ADDRESS(2,COLUMN())),OFFSET($BN$2,0,0,ROW()-1,60),ROW()-1,FALSE))</f>
        <v>2700</v>
      </c>
      <c r="O49">
        <f ca="1">IF(AND(ISNUMBER($O$250),$B$185=1),$O$250,HLOOKUP(INDIRECT(ADDRESS(2,COLUMN())),OFFSET($BN$2,0,0,ROW()-1,60),ROW()-1,FALSE))</f>
        <v>4200</v>
      </c>
      <c r="P49">
        <f ca="1">IF(AND(ISNUMBER($P$250),$B$185=1),$P$250,HLOOKUP(INDIRECT(ADDRESS(2,COLUMN())),OFFSET($BN$2,0,0,ROW()-1,60),ROW()-1,FALSE))</f>
        <v>4100</v>
      </c>
      <c r="Q49">
        <f ca="1">IF(AND(ISNUMBER($Q$250),$B$185=1),$Q$250,HLOOKUP(INDIRECT(ADDRESS(2,COLUMN())),OFFSET($BN$2,0,0,ROW()-1,60),ROW()-1,FALSE))</f>
        <v>3100</v>
      </c>
      <c r="R49">
        <f ca="1">IF(AND(ISNUMBER($R$250),$B$185=1),$R$250,HLOOKUP(INDIRECT(ADDRESS(2,COLUMN())),OFFSET($BN$2,0,0,ROW()-1,60),ROW()-1,FALSE))</f>
        <v>4800</v>
      </c>
      <c r="S49">
        <f ca="1">IF(AND(ISNUMBER($S$250),$B$185=1),$S$250,HLOOKUP(INDIRECT(ADDRESS(2,COLUMN())),OFFSET($BN$2,0,0,ROW()-1,60),ROW()-1,FALSE))</f>
        <v>3400</v>
      </c>
      <c r="T49">
        <f ca="1">IF(AND(ISNUMBER($T$250),$B$185=1),$T$250,HLOOKUP(INDIRECT(ADDRESS(2,COLUMN())),OFFSET($BN$2,0,0,ROW()-1,60),ROW()-1,FALSE))</f>
        <v>5600</v>
      </c>
      <c r="U49">
        <f ca="1">IF(AND(ISNUMBER($U$250),$B$185=1),$U$250,HLOOKUP(INDIRECT(ADDRESS(2,COLUMN())),OFFSET($BN$2,0,0,ROW()-1,60),ROW()-1,FALSE))</f>
        <v>5700</v>
      </c>
      <c r="V49">
        <f ca="1">IF(AND(ISNUMBER($V$250),$B$185=1),$V$250,HLOOKUP(INDIRECT(ADDRESS(2,COLUMN())),OFFSET($BN$2,0,0,ROW()-1,60),ROW()-1,FALSE))</f>
        <v>6600</v>
      </c>
      <c r="W49">
        <f ca="1">IF(AND(ISNUMBER($W$250),$B$185=1),$W$250,HLOOKUP(INDIRECT(ADDRESS(2,COLUMN())),OFFSET($BN$2,0,0,ROW()-1,60),ROW()-1,FALSE))</f>
        <v>6600</v>
      </c>
      <c r="X49">
        <f ca="1">IF(AND(ISNUMBER($X$250),$B$185=1),$X$250,HLOOKUP(INDIRECT(ADDRESS(2,COLUMN())),OFFSET($BN$2,0,0,ROW()-1,60),ROW()-1,FALSE))</f>
        <v>6400</v>
      </c>
      <c r="Y49">
        <f ca="1">IF(AND(ISNUMBER($Y$250),$B$185=1),$Y$250,HLOOKUP(INDIRECT(ADDRESS(2,COLUMN())),OFFSET($BN$2,0,0,ROW()-1,60),ROW()-1,FALSE))</f>
        <v>4100</v>
      </c>
      <c r="Z49">
        <f ca="1">IF(AND(ISNUMBER($Z$250),$B$185=1),$Z$250,HLOOKUP(INDIRECT(ADDRESS(2,COLUMN())),OFFSET($BN$2,0,0,ROW()-1,60),ROW()-1,FALSE))</f>
        <v>6000</v>
      </c>
      <c r="AA49">
        <f ca="1">IF(AND(ISNUMBER($AA$250),$B$185=1),$AA$250,HLOOKUP(INDIRECT(ADDRESS(2,COLUMN())),OFFSET($BN$2,0,0,ROW()-1,60),ROW()-1,FALSE))</f>
        <v>5000</v>
      </c>
      <c r="AB49">
        <f ca="1">IF(AND(ISNUMBER($AB$250),$B$185=1),$AB$250,HLOOKUP(INDIRECT(ADDRESS(2,COLUMN())),OFFSET($BN$2,0,0,ROW()-1,60),ROW()-1,FALSE))</f>
        <v>3900</v>
      </c>
      <c r="AC49">
        <f ca="1">IF(AND(ISNUMBER($AC$250),$B$185=1),$AC$250,HLOOKUP(INDIRECT(ADDRESS(2,COLUMN())),OFFSET($BN$2,0,0,ROW()-1,60),ROW()-1,FALSE))</f>
        <v>2000</v>
      </c>
      <c r="AD49">
        <f ca="1">IF(AND(ISNUMBER($AD$250),$B$185=1),$AD$250,HLOOKUP(INDIRECT(ADDRESS(2,COLUMN())),OFFSET($BN$2,0,0,ROW()-1,60),ROW()-1,FALSE))</f>
        <v>2300</v>
      </c>
      <c r="AE49">
        <f ca="1">IF(AND(ISNUMBER($AE$250),$B$185=1),$AE$250,HLOOKUP(INDIRECT(ADDRESS(2,COLUMN())),OFFSET($BN$2,0,0,ROW()-1,60),ROW()-1,FALSE))</f>
        <v>2700</v>
      </c>
      <c r="AF49">
        <f ca="1">IF(AND(ISNUMBER($AF$250),$B$185=1),$AF$250,HLOOKUP(INDIRECT(ADDRESS(2,COLUMN())),OFFSET($BN$2,0,0,ROW()-1,60),ROW()-1,FALSE))</f>
        <v>2600</v>
      </c>
      <c r="AG49">
        <f ca="1">IF(AND(ISNUMBER($AG$250),$B$185=1),$AG$250,HLOOKUP(INDIRECT(ADDRESS(2,COLUMN())),OFFSET($BN$2,0,0,ROW()-1,60),ROW()-1,FALSE))</f>
        <v>2300</v>
      </c>
      <c r="AH49">
        <f ca="1">IF(AND(ISNUMBER($AH$250),$B$185=1),$AH$250,HLOOKUP(INDIRECT(ADDRESS(2,COLUMN())),OFFSET($BN$2,0,0,ROW()-1,60),ROW()-1,FALSE))</f>
        <v>3000</v>
      </c>
      <c r="AI49">
        <f ca="1">IF(AND(ISNUMBER($AI$250),$B$185=1),$AI$250,HLOOKUP(INDIRECT(ADDRESS(2,COLUMN())),OFFSET($BN$2,0,0,ROW()-1,60),ROW()-1,FALSE))</f>
        <v>3200</v>
      </c>
      <c r="AJ49">
        <f ca="1">IF(AND(ISNUMBER($AJ$250),$B$185=1),$AJ$250,HLOOKUP(INDIRECT(ADDRESS(2,COLUMN())),OFFSET($BN$2,0,0,ROW()-1,60),ROW()-1,FALSE))</f>
        <v>3100</v>
      </c>
      <c r="AK49">
        <f ca="1">IF(AND(ISNUMBER($AK$250),$B$185=1),$AK$250,HLOOKUP(INDIRECT(ADDRESS(2,COLUMN())),OFFSET($BN$2,0,0,ROW()-1,60),ROW()-1,FALSE))</f>
        <v>3800</v>
      </c>
      <c r="AL49">
        <f ca="1">IF(AND(ISNUMBER($AL$250),$B$185=1),$AL$250,HLOOKUP(INDIRECT(ADDRESS(2,COLUMN())),OFFSET($BN$2,0,0,ROW()-1,60),ROW()-1,FALSE))</f>
        <v>5600</v>
      </c>
      <c r="AM49">
        <f ca="1">IF(AND(ISNUMBER($AM$250),$B$185=1),$AM$250,HLOOKUP(INDIRECT(ADDRESS(2,COLUMN())),OFFSET($BN$2,0,0,ROW()-1,60),ROW()-1,FALSE))</f>
        <v>6500</v>
      </c>
      <c r="AN49">
        <f ca="1">IF(AND(ISNUMBER($AN$250),$B$185=1),$AN$250,HLOOKUP(INDIRECT(ADDRESS(2,COLUMN())),OFFSET($BN$2,0,0,ROW()-1,60),ROW()-1,FALSE))</f>
        <v>6400</v>
      </c>
      <c r="AO49">
        <f ca="1">IF(AND(ISNUMBER($AO$250),$B$185=1),$AO$250,HLOOKUP(INDIRECT(ADDRESS(2,COLUMN())),OFFSET($BN$2,0,0,ROW()-1,60),ROW()-1,FALSE))</f>
        <v>5500</v>
      </c>
      <c r="AP49">
        <f ca="1">IF(AND(ISNUMBER($AP$250),$B$185=1),$AP$250,HLOOKUP(INDIRECT(ADDRESS(2,COLUMN())),OFFSET($BN$2,0,0,ROW()-1,60),ROW()-1,FALSE))</f>
        <v>6200</v>
      </c>
      <c r="AQ49">
        <f ca="1">IF(AND(ISNUMBER($AQ$250),$B$185=1),$AQ$250,HLOOKUP(INDIRECT(ADDRESS(2,COLUMN())),OFFSET($BN$2,0,0,ROW()-1,60),ROW()-1,FALSE))</f>
        <v>7500</v>
      </c>
      <c r="AR49">
        <f ca="1">IF(AND(ISNUMBER($AR$250),$B$185=1),$AR$250,HLOOKUP(INDIRECT(ADDRESS(2,COLUMN())),OFFSET($BN$2,0,0,ROW()-1,60),ROW()-1,FALSE))</f>
        <v>8800</v>
      </c>
      <c r="AS49">
        <f ca="1">IF(AND(ISNUMBER($AS$250),$B$185=1),$AS$250,HLOOKUP(INDIRECT(ADDRESS(2,COLUMN())),OFFSET($BN$2,0,0,ROW()-1,60),ROW()-1,FALSE))</f>
        <v>7000</v>
      </c>
      <c r="AT49">
        <f ca="1">IF(AND(ISNUMBER($AT$250),$B$185=1),$AT$250,HLOOKUP(INDIRECT(ADDRESS(2,COLUMN())),OFFSET($BN$2,0,0,ROW()-1,60),ROW()-1,FALSE))</f>
        <v>6700</v>
      </c>
      <c r="AU49">
        <f ca="1">IF(AND(ISNUMBER($AU$250),$B$185=1),$AU$250,HLOOKUP(INDIRECT(ADDRESS(2,COLUMN())),OFFSET($BN$2,0,0,ROW()-1,60),ROW()-1,FALSE))</f>
        <v>7100</v>
      </c>
      <c r="AV49">
        <f ca="1">IF(AND(ISNUMBER($AV$250),$B$185=1),$AV$250,HLOOKUP(INDIRECT(ADDRESS(2,COLUMN())),OFFSET($BN$2,0,0,ROW()-1,60),ROW()-1,FALSE))</f>
        <v>6200</v>
      </c>
      <c r="AW49">
        <f ca="1">IF(AND(ISNUMBER($AW$250),$B$185=1),$AW$250,HLOOKUP(INDIRECT(ADDRESS(2,COLUMN())),OFFSET($BN$2,0,0,ROW()-1,60),ROW()-1,FALSE))</f>
        <v>5200</v>
      </c>
      <c r="AX49">
        <f ca="1">IF(AND(ISNUMBER($AX$250),$B$185=1),$AX$250,HLOOKUP(INDIRECT(ADDRESS(2,COLUMN())),OFFSET($BN$2,0,0,ROW()-1,60),ROW()-1,FALSE))</f>
        <v>8300</v>
      </c>
      <c r="AY49">
        <f ca="1">IF(AND(ISNUMBER($AY$250),$B$185=1),$AY$250,HLOOKUP(INDIRECT(ADDRESS(2,COLUMN())),OFFSET($BN$2,0,0,ROW()-1,60),ROW()-1,FALSE))</f>
        <v>14500</v>
      </c>
      <c r="AZ49">
        <f ca="1">IF(AND(ISNUMBER($AZ$250),$B$185=1),$AZ$250,HLOOKUP(INDIRECT(ADDRESS(2,COLUMN())),OFFSET($BN$2,0,0,ROW()-1,60),ROW()-1,FALSE))</f>
        <v>17200</v>
      </c>
      <c r="BA49">
        <f ca="1">IF(AND(ISNUMBER($BA$250),$B$185=1),$BA$250,HLOOKUP(INDIRECT(ADDRESS(2,COLUMN())),OFFSET($BN$2,0,0,ROW()-1,60),ROW()-1,FALSE))</f>
        <v>18000</v>
      </c>
      <c r="BB49">
        <f ca="1">IF(AND(ISNUMBER($BB$250),$B$185=1),$BB$250,HLOOKUP(INDIRECT(ADDRESS(2,COLUMN())),OFFSET($BN$2,0,0,ROW()-1,60),ROW()-1,FALSE))</f>
        <v>16800</v>
      </c>
      <c r="BC49">
        <f ca="1">IF(AND(ISNUMBER($BC$250),$B$185=1),$BC$250,HLOOKUP(INDIRECT(ADDRESS(2,COLUMN())),OFFSET($BN$2,0,0,ROW()-1,60),ROW()-1,FALSE))</f>
        <v>14500</v>
      </c>
      <c r="BD49">
        <f ca="1">IF(AND(ISNUMBER($BD$250),$B$185=1),$BD$250,HLOOKUP(INDIRECT(ADDRESS(2,COLUMN())),OFFSET($BN$2,0,0,ROW()-1,60),ROW()-1,FALSE))</f>
        <v>12900</v>
      </c>
      <c r="BE49">
        <f ca="1">IF(AND(ISNUMBER($BE$250),$B$185=1),$BE$250,HLOOKUP(INDIRECT(ADDRESS(2,COLUMN())),OFFSET($BN$2,0,0,ROW()-1,60),ROW()-1,FALSE))</f>
        <v>14300</v>
      </c>
      <c r="BF49">
        <f ca="1">IF(AND(ISNUMBER($BF$250),$B$185=1),$BF$250,HLOOKUP(INDIRECT(ADDRESS(2,COLUMN())),OFFSET($BN$2,0,0,ROW()-1,60),ROW()-1,FALSE))</f>
        <v>21100</v>
      </c>
      <c r="BG49">
        <f ca="1">IF(AND(ISNUMBER($BG$250),$B$185=1),$BG$250,HLOOKUP(INDIRECT(ADDRESS(2,COLUMN())),OFFSET($BN$2,0,0,ROW()-1,60),ROW()-1,FALSE))</f>
        <v>17000</v>
      </c>
      <c r="BH49">
        <f ca="1">IF(AND(ISNUMBER($BH$250),$B$185=1),$BH$250,HLOOKUP(INDIRECT(ADDRESS(2,COLUMN())),OFFSET($BN$2,0,0,ROW()-1,60),ROW()-1,FALSE))</f>
        <v>11000</v>
      </c>
      <c r="BI49">
        <f ca="1">IF(AND(ISNUMBER($BI$250),$B$185=1),$BI$250,HLOOKUP(INDIRECT(ADDRESS(2,COLUMN())),OFFSET($BN$2,0,0,ROW()-1,60),ROW()-1,FALSE))</f>
        <v>14100</v>
      </c>
      <c r="BJ49">
        <f ca="1">IF(AND(ISNUMBER($BJ$250),$B$185=1),$BJ$250,HLOOKUP(INDIRECT(ADDRESS(2,COLUMN())),OFFSET($BN$2,0,0,ROW()-1,60),ROW()-1,FALSE))</f>
        <v>21800</v>
      </c>
      <c r="BK49">
        <f ca="1">IF(AND(ISNUMBER($BK$250),$B$185=1),$BK$250,HLOOKUP(INDIRECT(ADDRESS(2,COLUMN())),OFFSET($BN$2,0,0,ROW()-1,60),ROW()-1,FALSE))</f>
        <v>18600</v>
      </c>
      <c r="BL49">
        <f ca="1">IF(AND(ISNUMBER($BL$250),$B$185=1),$BL$250,HLOOKUP(INDIRECT(ADDRESS(2,COLUMN())),OFFSET($BN$2,0,0,ROW()-1,60),ROW()-1,FALSE))</f>
        <v>10300</v>
      </c>
      <c r="BM49" t="str">
        <f ca="1">IF(AND(ISNUMBER($BM$250),$B$185=1),$BM$250,HLOOKUP(INDIRECT(ADDRESS(2,COLUMN())),OFFSET($BN$2,0,0,ROW()-1,60),ROW()-1,FALSE))</f>
        <v/>
      </c>
      <c r="BN49">
        <f>4200</f>
        <v>4200</v>
      </c>
      <c r="BO49">
        <f>4600</f>
        <v>4600</v>
      </c>
      <c r="BP49">
        <f>4300</f>
        <v>4300</v>
      </c>
      <c r="BQ49">
        <f>3100</f>
        <v>3100</v>
      </c>
      <c r="BR49">
        <f>2800</f>
        <v>2800</v>
      </c>
      <c r="BS49">
        <f>3900</f>
        <v>3900</v>
      </c>
      <c r="BT49">
        <f>4500</f>
        <v>4500</v>
      </c>
      <c r="BU49">
        <f>3300</f>
        <v>3300</v>
      </c>
      <c r="BV49">
        <f>2700</f>
        <v>2700</v>
      </c>
      <c r="BW49">
        <f>4200</f>
        <v>4200</v>
      </c>
      <c r="BX49">
        <f>4100</f>
        <v>4100</v>
      </c>
      <c r="BY49">
        <f>3100</f>
        <v>3100</v>
      </c>
      <c r="BZ49">
        <f>4800</f>
        <v>4800</v>
      </c>
      <c r="CA49">
        <f>3400</f>
        <v>3400</v>
      </c>
      <c r="CB49">
        <f>5600</f>
        <v>5600</v>
      </c>
      <c r="CC49">
        <f>5700</f>
        <v>5700</v>
      </c>
      <c r="CD49">
        <f>6600</f>
        <v>6600</v>
      </c>
      <c r="CE49">
        <f>6600</f>
        <v>6600</v>
      </c>
      <c r="CF49">
        <f>6400</f>
        <v>6400</v>
      </c>
      <c r="CG49">
        <f>4100</f>
        <v>4100</v>
      </c>
      <c r="CH49">
        <f>6000</f>
        <v>6000</v>
      </c>
      <c r="CI49">
        <f>5000</f>
        <v>5000</v>
      </c>
      <c r="CJ49">
        <f>3900</f>
        <v>3900</v>
      </c>
      <c r="CK49">
        <f>2000</f>
        <v>2000</v>
      </c>
      <c r="CL49">
        <f>2300</f>
        <v>2300</v>
      </c>
      <c r="CM49">
        <f>2700</f>
        <v>2700</v>
      </c>
      <c r="CN49">
        <f>2600</f>
        <v>2600</v>
      </c>
      <c r="CO49">
        <f>2300</f>
        <v>2300</v>
      </c>
      <c r="CP49">
        <f>3000</f>
        <v>3000</v>
      </c>
      <c r="CQ49">
        <f>3200</f>
        <v>3200</v>
      </c>
      <c r="CR49">
        <f>3100</f>
        <v>3100</v>
      </c>
      <c r="CS49">
        <f>3800</f>
        <v>3800</v>
      </c>
      <c r="CT49">
        <f>5600</f>
        <v>5600</v>
      </c>
      <c r="CU49">
        <f>6500</f>
        <v>6500</v>
      </c>
      <c r="CV49">
        <f>6400</f>
        <v>6400</v>
      </c>
      <c r="CW49">
        <f>5500</f>
        <v>5500</v>
      </c>
      <c r="CX49">
        <f>6200</f>
        <v>6200</v>
      </c>
      <c r="CY49">
        <f>7500</f>
        <v>7500</v>
      </c>
      <c r="CZ49">
        <f>8800</f>
        <v>8800</v>
      </c>
      <c r="DA49">
        <f>7000</f>
        <v>7000</v>
      </c>
      <c r="DB49">
        <f>6700</f>
        <v>6700</v>
      </c>
      <c r="DC49">
        <f>7100</f>
        <v>7100</v>
      </c>
      <c r="DD49">
        <f>6200</f>
        <v>6200</v>
      </c>
      <c r="DE49">
        <f>5200</f>
        <v>5200</v>
      </c>
      <c r="DF49">
        <f>8300</f>
        <v>8300</v>
      </c>
      <c r="DG49">
        <f>14500</f>
        <v>14500</v>
      </c>
      <c r="DH49">
        <f>17200</f>
        <v>17200</v>
      </c>
      <c r="DI49">
        <f>18000</f>
        <v>18000</v>
      </c>
      <c r="DJ49">
        <f>16800</f>
        <v>16800</v>
      </c>
      <c r="DK49">
        <f>14500</f>
        <v>14500</v>
      </c>
      <c r="DL49">
        <f>12900</f>
        <v>12900</v>
      </c>
      <c r="DM49">
        <f>14300</f>
        <v>14300</v>
      </c>
      <c r="DN49">
        <f>21100</f>
        <v>21100</v>
      </c>
      <c r="DO49">
        <f>17000</f>
        <v>17000</v>
      </c>
      <c r="DP49">
        <f>11000</f>
        <v>11000</v>
      </c>
      <c r="DQ49">
        <f>14100</f>
        <v>14100</v>
      </c>
      <c r="DR49">
        <f>21800</f>
        <v>21800</v>
      </c>
      <c r="DS49">
        <f>18600</f>
        <v>18600</v>
      </c>
      <c r="DT49">
        <f>10300</f>
        <v>10300</v>
      </c>
      <c r="DU49" t="str">
        <f>""</f>
        <v/>
      </c>
    </row>
    <row r="50" spans="1:125">
      <c r="A50" t="str">
        <f>"    Fifth Third Bancorp"</f>
        <v xml:space="preserve">    Fifth Third Bancorp</v>
      </c>
      <c r="B50" t="str">
        <f>"FITB US Equity"</f>
        <v>FITB US Equity</v>
      </c>
      <c r="C50" t="str">
        <f t="shared" si="4"/>
        <v>IS688</v>
      </c>
      <c r="D50" t="str">
        <f t="shared" si="5"/>
        <v>IS_RESIDENTIAL_MTG_ORIGINATIONS</v>
      </c>
      <c r="E50" t="str">
        <f t="shared" si="6"/>
        <v>Dynamic</v>
      </c>
      <c r="F50">
        <f ca="1">IF(AND(ISNUMBER($F$251),$B$185=1),$F$251,HLOOKUP(INDIRECT(ADDRESS(2,COLUMN())),OFFSET($BN$2,0,0,ROW()-1,60),ROW()-1,FALSE))</f>
        <v>1900</v>
      </c>
      <c r="G50">
        <f ca="1">IF(AND(ISNUMBER($G$251),$B$185=1),$G$251,HLOOKUP(INDIRECT(ADDRESS(2,COLUMN())),OFFSET($BN$2,0,0,ROW()-1,60),ROW()-1,FALSE))</f>
        <v>1900</v>
      </c>
      <c r="H50">
        <f ca="1">IF(AND(ISNUMBER($H$251),$B$185=1),$H$251,HLOOKUP(INDIRECT(ADDRESS(2,COLUMN())),OFFSET($BN$2,0,0,ROW()-1,60),ROW()-1,FALSE))</f>
        <v>1600</v>
      </c>
      <c r="I50">
        <f ca="1">IF(AND(ISNUMBER($I$251),$B$185=1),$I$251,HLOOKUP(INDIRECT(ADDRESS(2,COLUMN())),OFFSET($BN$2,0,0,ROW()-1,60),ROW()-1,FALSE))</f>
        <v>1100</v>
      </c>
      <c r="J50">
        <f ca="1">IF(AND(ISNUMBER($J$251),$B$185=1),$J$251,HLOOKUP(INDIRECT(ADDRESS(2,COLUMN())),OFFSET($BN$2,0,0,ROW()-1,60),ROW()-1,FALSE))</f>
        <v>1000</v>
      </c>
      <c r="K50">
        <f ca="1">IF(AND(ISNUMBER($K$251),$B$185=1),$K$251,HLOOKUP(INDIRECT(ADDRESS(2,COLUMN())),OFFSET($BN$2,0,0,ROW()-1,60),ROW()-1,FALSE))</f>
        <v>1500</v>
      </c>
      <c r="L50">
        <f ca="1">IF(AND(ISNUMBER($L$251),$B$185=1),$L$251,HLOOKUP(INDIRECT(ADDRESS(2,COLUMN())),OFFSET($BN$2,0,0,ROW()-1,60),ROW()-1,FALSE))</f>
        <v>1700</v>
      </c>
      <c r="M50">
        <f ca="1">IF(AND(ISNUMBER($M$251),$B$185=1),$M$251,HLOOKUP(INDIRECT(ADDRESS(2,COLUMN())),OFFSET($BN$2,0,0,ROW()-1,60),ROW()-1,FALSE))</f>
        <v>1400</v>
      </c>
      <c r="N50">
        <f ca="1">IF(AND(ISNUMBER($N$251),$B$185=1),$N$251,HLOOKUP(INDIRECT(ADDRESS(2,COLUMN())),OFFSET($BN$2,0,0,ROW()-1,60),ROW()-1,FALSE))</f>
        <v>2300</v>
      </c>
      <c r="O50">
        <f ca="1">IF(AND(ISNUMBER($O$251),$B$185=1),$O$251,HLOOKUP(INDIRECT(ADDRESS(2,COLUMN())),OFFSET($BN$2,0,0,ROW()-1,60),ROW()-1,FALSE))</f>
        <v>4000</v>
      </c>
      <c r="P50">
        <f ca="1">IF(AND(ISNUMBER($P$251),$B$185=1),$P$251,HLOOKUP(INDIRECT(ADDRESS(2,COLUMN())),OFFSET($BN$2,0,0,ROW()-1,60),ROW()-1,FALSE))</f>
        <v>4300</v>
      </c>
      <c r="Q50">
        <f ca="1">IF(AND(ISNUMBER($Q$251),$B$185=1),$Q$251,HLOOKUP(INDIRECT(ADDRESS(2,COLUMN())),OFFSET($BN$2,0,0,ROW()-1,60),ROW()-1,FALSE))</f>
        <v>3500</v>
      </c>
      <c r="R50">
        <f ca="1">IF(AND(ISNUMBER($R$251),$B$185=1),$R$251,HLOOKUP(INDIRECT(ADDRESS(2,COLUMN())),OFFSET($BN$2,0,0,ROW()-1,60),ROW()-1,FALSE))</f>
        <v>4300</v>
      </c>
      <c r="S50">
        <f ca="1">IF(AND(ISNUMBER($S$251),$B$185=1),$S$251,HLOOKUP(INDIRECT(ADDRESS(2,COLUMN())),OFFSET($BN$2,0,0,ROW()-1,60),ROW()-1,FALSE))</f>
        <v>5000</v>
      </c>
      <c r="T50">
        <f ca="1">IF(AND(ISNUMBER($T$251),$B$185=1),$T$251,HLOOKUP(INDIRECT(ADDRESS(2,COLUMN())),OFFSET($BN$2,0,0,ROW()-1,60),ROW()-1,FALSE))</f>
        <v>5000</v>
      </c>
      <c r="U50">
        <f ca="1">IF(AND(ISNUMBER($U$251),$B$185=1),$U$251,HLOOKUP(INDIRECT(ADDRESS(2,COLUMN())),OFFSET($BN$2,0,0,ROW()-1,60),ROW()-1,FALSE))</f>
        <v>4700</v>
      </c>
      <c r="V50">
        <f ca="1">IF(AND(ISNUMBER($V$251),$B$185=1),$V$251,HLOOKUP(INDIRECT(ADDRESS(2,COLUMN())),OFFSET($BN$2,0,0,ROW()-1,60),ROW()-1,FALSE))</f>
        <v>3900</v>
      </c>
      <c r="W50">
        <f ca="1">IF(AND(ISNUMBER($W$251),$B$185=1),$W$251,HLOOKUP(INDIRECT(ADDRESS(2,COLUMN())),OFFSET($BN$2,0,0,ROW()-1,60),ROW()-1,FALSE))</f>
        <v>4500</v>
      </c>
      <c r="X50">
        <f ca="1">IF(AND(ISNUMBER($X$251),$B$185=1),$X$251,HLOOKUP(INDIRECT(ADDRESS(2,COLUMN())),OFFSET($BN$2,0,0,ROW()-1,60),ROW()-1,FALSE))</f>
        <v>3400</v>
      </c>
      <c r="Y50">
        <f ca="1">IF(AND(ISNUMBER($Y$251),$B$185=1),$Y$251,HLOOKUP(INDIRECT(ADDRESS(2,COLUMN())),OFFSET($BN$2,0,0,ROW()-1,60),ROW()-1,FALSE))</f>
        <v>4000</v>
      </c>
      <c r="Z50">
        <f ca="1">IF(AND(ISNUMBER($Z$251),$B$185=1),$Z$251,HLOOKUP(INDIRECT(ADDRESS(2,COLUMN())),OFFSET($BN$2,0,0,ROW()-1,60),ROW()-1,FALSE))</f>
        <v>3800</v>
      </c>
      <c r="AA50">
        <f ca="1">IF(AND(ISNUMBER($AA$251),$B$185=1),$AA$251,HLOOKUP(INDIRECT(ADDRESS(2,COLUMN())),OFFSET($BN$2,0,0,ROW()-1,60),ROW()-1,FALSE))</f>
        <v>3400</v>
      </c>
      <c r="AB50">
        <f ca="1">IF(AND(ISNUMBER($AB$251),$B$185=1),$AB$251,HLOOKUP(INDIRECT(ADDRESS(2,COLUMN())),OFFSET($BN$2,0,0,ROW()-1,60),ROW()-1,FALSE))</f>
        <v>2900</v>
      </c>
      <c r="AC50">
        <f ca="1">IF(AND(ISNUMBER($AC$251),$B$185=1),$AC$251,HLOOKUP(INDIRECT(ADDRESS(2,COLUMN())),OFFSET($BN$2,0,0,ROW()-1,60),ROW()-1,FALSE))</f>
        <v>1600</v>
      </c>
      <c r="AD50">
        <f ca="1">IF(AND(ISNUMBER($AD$251),$B$185=1),$AD$251,HLOOKUP(INDIRECT(ADDRESS(2,COLUMN())),OFFSET($BN$2,0,0,ROW()-1,60),ROW()-1,FALSE))</f>
        <v>1600</v>
      </c>
      <c r="AE50">
        <f ca="1">IF(AND(ISNUMBER($AE$251),$B$185=1),$AE$251,HLOOKUP(INDIRECT(ADDRESS(2,COLUMN())),OFFSET($BN$2,0,0,ROW()-1,60),ROW()-1,FALSE))</f>
        <v>1900</v>
      </c>
      <c r="AF50">
        <f ca="1">IF(AND(ISNUMBER($AF$251),$B$185=1),$AF$251,HLOOKUP(INDIRECT(ADDRESS(2,COLUMN())),OFFSET($BN$2,0,0,ROW()-1,60),ROW()-1,FALSE))</f>
        <v>2100</v>
      </c>
      <c r="AG50">
        <f ca="1">IF(AND(ISNUMBER($AG$251),$B$185=1),$AG$251,HLOOKUP(INDIRECT(ADDRESS(2,COLUMN())),OFFSET($BN$2,0,0,ROW()-1,60),ROW()-1,FALSE))</f>
        <v>1600</v>
      </c>
      <c r="AH50">
        <f ca="1">IF(AND(ISNUMBER($AH$251),$B$185=1),$AH$251,HLOOKUP(INDIRECT(ADDRESS(2,COLUMN())),OFFSET($BN$2,0,0,ROW()-1,60),ROW()-1,FALSE))</f>
        <v>1900</v>
      </c>
      <c r="AI50">
        <f ca="1">IF(AND(ISNUMBER($AI$251),$B$185=1),$AI$251,HLOOKUP(INDIRECT(ADDRESS(2,COLUMN())),OFFSET($BN$2,0,0,ROW()-1,60),ROW()-1,FALSE))</f>
        <v>2100</v>
      </c>
      <c r="AJ50">
        <f ca="1">IF(AND(ISNUMBER($AJ$251),$B$185=1),$AJ$251,HLOOKUP(INDIRECT(ADDRESS(2,COLUMN())),OFFSET($BN$2,0,0,ROW()-1,60),ROW()-1,FALSE))</f>
        <v>2300</v>
      </c>
      <c r="AK50">
        <f ca="1">IF(AND(ISNUMBER($AK$251),$B$185=1),$AK$251,HLOOKUP(INDIRECT(ADDRESS(2,COLUMN())),OFFSET($BN$2,0,0,ROW()-1,60),ROW()-1,FALSE))</f>
        <v>1900</v>
      </c>
      <c r="AL50">
        <f ca="1">IF(AND(ISNUMBER($AL$251),$B$185=1),$AL$251,HLOOKUP(INDIRECT(ADDRESS(2,COLUMN())),OFFSET($BN$2,0,0,ROW()-1,60),ROW()-1,FALSE))</f>
        <v>2700</v>
      </c>
      <c r="AM50">
        <f ca="1">IF(AND(ISNUMBER($AM$251),$B$185=1),$AM$251,HLOOKUP(INDIRECT(ADDRESS(2,COLUMN())),OFFSET($BN$2,0,0,ROW()-1,60),ROW()-1,FALSE))</f>
        <v>2900</v>
      </c>
      <c r="AN50">
        <f ca="1">IF(AND(ISNUMBER($AN$251),$B$185=1),$AN$251,HLOOKUP(INDIRECT(ADDRESS(2,COLUMN())),OFFSET($BN$2,0,0,ROW()-1,60),ROW()-1,FALSE))</f>
        <v>2700</v>
      </c>
      <c r="AO50">
        <f ca="1">IF(AND(ISNUMBER($AO$251),$B$185=1),$AO$251,HLOOKUP(INDIRECT(ADDRESS(2,COLUMN())),OFFSET($BN$2,0,0,ROW()-1,60),ROW()-1,FALSE))</f>
        <v>1800</v>
      </c>
      <c r="AP50">
        <f ca="1">IF(AND(ISNUMBER($AP$251),$B$185=1),$AP$251,HLOOKUP(INDIRECT(ADDRESS(2,COLUMN())),OFFSET($BN$2,0,0,ROW()-1,60),ROW()-1,FALSE))</f>
        <v>1800</v>
      </c>
      <c r="AQ50">
        <f ca="1">IF(AND(ISNUMBER($AQ$251),$B$185=1),$AQ$251,HLOOKUP(INDIRECT(ADDRESS(2,COLUMN())),OFFSET($BN$2,0,0,ROW()-1,60),ROW()-1,FALSE))</f>
        <v>2300</v>
      </c>
      <c r="AR50">
        <f ca="1">IF(AND(ISNUMBER($AR$251),$B$185=1),$AR$251,HLOOKUP(INDIRECT(ADDRESS(2,COLUMN())),OFFSET($BN$2,0,0,ROW()-1,60),ROW()-1,FALSE))</f>
        <v>2500</v>
      </c>
      <c r="AS50">
        <f ca="1">IF(AND(ISNUMBER($AS$251),$B$185=1),$AS$251,HLOOKUP(INDIRECT(ADDRESS(2,COLUMN())),OFFSET($BN$2,0,0,ROW()-1,60),ROW()-1,FALSE))</f>
        <v>1800</v>
      </c>
      <c r="AT50">
        <f ca="1">IF(AND(ISNUMBER($AT$251),$B$185=1),$AT$251,HLOOKUP(INDIRECT(ADDRESS(2,COLUMN())),OFFSET($BN$2,0,0,ROW()-1,60),ROW()-1,FALSE))</f>
        <v>1700</v>
      </c>
      <c r="AU50">
        <f ca="1">IF(AND(ISNUMBER($AU$251),$B$185=1),$AU$251,HLOOKUP(INDIRECT(ADDRESS(2,COLUMN())),OFFSET($BN$2,0,0,ROW()-1,60),ROW()-1,FALSE))</f>
        <v>2100</v>
      </c>
      <c r="AV50">
        <f ca="1">IF(AND(ISNUMBER($AV$251),$B$185=1),$AV$251,HLOOKUP(INDIRECT(ADDRESS(2,COLUMN())),OFFSET($BN$2,0,0,ROW()-1,60),ROW()-1,FALSE))</f>
        <v>2000</v>
      </c>
      <c r="AW50">
        <f ca="1">IF(AND(ISNUMBER($AW$251),$B$185=1),$AW$251,HLOOKUP(INDIRECT(ADDRESS(2,COLUMN())),OFFSET($BN$2,0,0,ROW()-1,60),ROW()-1,FALSE))</f>
        <v>1700</v>
      </c>
      <c r="AX50">
        <f ca="1">IF(AND(ISNUMBER($AX$251),$B$185=1),$AX$251,HLOOKUP(INDIRECT(ADDRESS(2,COLUMN())),OFFSET($BN$2,0,0,ROW()-1,60),ROW()-1,FALSE))</f>
        <v>2600</v>
      </c>
      <c r="AY50">
        <f ca="1">IF(AND(ISNUMBER($AY$251),$B$185=1),$AY$251,HLOOKUP(INDIRECT(ADDRESS(2,COLUMN())),OFFSET($BN$2,0,0,ROW()-1,60),ROW()-1,FALSE))</f>
        <v>4800</v>
      </c>
      <c r="AZ50">
        <f ca="1">IF(AND(ISNUMBER($AZ$251),$B$185=1),$AZ$251,HLOOKUP(INDIRECT(ADDRESS(2,COLUMN())),OFFSET($BN$2,0,0,ROW()-1,60),ROW()-1,FALSE))</f>
        <v>7500</v>
      </c>
      <c r="BA50">
        <f ca="1">IF(AND(ISNUMBER($BA$251),$B$185=1),$BA$251,HLOOKUP(INDIRECT(ADDRESS(2,COLUMN())),OFFSET($BN$2,0,0,ROW()-1,60),ROW()-1,FALSE))</f>
        <v>7400</v>
      </c>
      <c r="BB50">
        <f ca="1">IF(AND(ISNUMBER($BB$251),$B$185=1),$BB$251,HLOOKUP(INDIRECT(ADDRESS(2,COLUMN())),OFFSET($BN$2,0,0,ROW()-1,60),ROW()-1,FALSE))</f>
        <v>7000</v>
      </c>
      <c r="BC50">
        <f ca="1">IF(AND(ISNUMBER($BC$251),$B$185=1),$BC$251,HLOOKUP(INDIRECT(ADDRESS(2,COLUMN())),OFFSET($BN$2,0,0,ROW()-1,60),ROW()-1,FALSE))</f>
        <v>5800</v>
      </c>
      <c r="BD50">
        <f ca="1">IF(AND(ISNUMBER($BD$251),$B$185=1),$BD$251,HLOOKUP(INDIRECT(ADDRESS(2,COLUMN())),OFFSET($BN$2,0,0,ROW()-1,60),ROW()-1,FALSE))</f>
        <v>5900</v>
      </c>
      <c r="BE50">
        <f ca="1">IF(AND(ISNUMBER($BE$251),$B$185=1),$BE$251,HLOOKUP(INDIRECT(ADDRESS(2,COLUMN())),OFFSET($BN$2,0,0,ROW()-1,60),ROW()-1,FALSE))</f>
        <v>6400</v>
      </c>
      <c r="BF50">
        <f ca="1">IF(AND(ISNUMBER($BF$251),$B$185=1),$BF$251,HLOOKUP(INDIRECT(ADDRESS(2,COLUMN())),OFFSET($BN$2,0,0,ROW()-1,60),ROW()-1,FALSE))</f>
        <v>7100</v>
      </c>
      <c r="BG50">
        <f ca="1">IF(AND(ISNUMBER($BG$251),$B$185=1),$BG$251,HLOOKUP(INDIRECT(ADDRESS(2,COLUMN())),OFFSET($BN$2,0,0,ROW()-1,60),ROW()-1,FALSE))</f>
        <v>4500</v>
      </c>
      <c r="BH50">
        <f ca="1">IF(AND(ISNUMBER($BH$251),$B$185=1),$BH$251,HLOOKUP(INDIRECT(ADDRESS(2,COLUMN())),OFFSET($BN$2,0,0,ROW()-1,60),ROW()-1,FALSE))</f>
        <v>3100</v>
      </c>
      <c r="BI50">
        <f ca="1">IF(AND(ISNUMBER($BI$251),$B$185=1),$BI$251,HLOOKUP(INDIRECT(ADDRESS(2,COLUMN())),OFFSET($BN$2,0,0,ROW()-1,60),ROW()-1,FALSE))</f>
        <v>3900</v>
      </c>
      <c r="BJ50">
        <f ca="1">IF(AND(ISNUMBER($BJ$251),$B$185=1),$BJ$251,HLOOKUP(INDIRECT(ADDRESS(2,COLUMN())),OFFSET($BN$2,0,0,ROW()-1,60),ROW()-1,FALSE))</f>
        <v>7400</v>
      </c>
      <c r="BK50">
        <f ca="1">IF(AND(ISNUMBER($BK$251),$B$185=1),$BK$251,HLOOKUP(INDIRECT(ADDRESS(2,COLUMN())),OFFSET($BN$2,0,0,ROW()-1,60),ROW()-1,FALSE))</f>
        <v>5600</v>
      </c>
      <c r="BL50">
        <f ca="1">IF(AND(ISNUMBER($BL$251),$B$185=1),$BL$251,HLOOKUP(INDIRECT(ADDRESS(2,COLUMN())),OFFSET($BN$2,0,0,ROW()-1,60),ROW()-1,FALSE))</f>
        <v>3800</v>
      </c>
      <c r="BM50" t="str">
        <f ca="1">IF(AND(ISNUMBER($BM$251),$B$185=1),$BM$251,HLOOKUP(INDIRECT(ADDRESS(2,COLUMN())),OFFSET($BN$2,0,0,ROW()-1,60),ROW()-1,FALSE))</f>
        <v/>
      </c>
      <c r="BN50">
        <f>1900</f>
        <v>1900</v>
      </c>
      <c r="BO50">
        <f>1900</f>
        <v>1900</v>
      </c>
      <c r="BP50">
        <f>1600</f>
        <v>1600</v>
      </c>
      <c r="BQ50">
        <f>1100</f>
        <v>1100</v>
      </c>
      <c r="BR50">
        <f>1000</f>
        <v>1000</v>
      </c>
      <c r="BS50">
        <f>1500</f>
        <v>1500</v>
      </c>
      <c r="BT50">
        <f>1700</f>
        <v>1700</v>
      </c>
      <c r="BU50">
        <f>1400</f>
        <v>1400</v>
      </c>
      <c r="BV50">
        <f>2300</f>
        <v>2300</v>
      </c>
      <c r="BW50">
        <f>4000</f>
        <v>4000</v>
      </c>
      <c r="BX50">
        <f>4300</f>
        <v>4300</v>
      </c>
      <c r="BY50">
        <f>3500</f>
        <v>3500</v>
      </c>
      <c r="BZ50">
        <f>4300</f>
        <v>4300</v>
      </c>
      <c r="CA50">
        <f>5000</f>
        <v>5000</v>
      </c>
      <c r="CB50">
        <f>5000</f>
        <v>5000</v>
      </c>
      <c r="CC50">
        <f>4700</f>
        <v>4700</v>
      </c>
      <c r="CD50">
        <f>3900</f>
        <v>3900</v>
      </c>
      <c r="CE50">
        <f>4500</f>
        <v>4500</v>
      </c>
      <c r="CF50">
        <f>3400</f>
        <v>3400</v>
      </c>
      <c r="CG50">
        <f>4000</f>
        <v>4000</v>
      </c>
      <c r="CH50">
        <f>3800</f>
        <v>3800</v>
      </c>
      <c r="CI50">
        <f>3400</f>
        <v>3400</v>
      </c>
      <c r="CJ50">
        <f>2900</f>
        <v>2900</v>
      </c>
      <c r="CK50">
        <f>1600</f>
        <v>1600</v>
      </c>
      <c r="CL50">
        <f>1600</f>
        <v>1600</v>
      </c>
      <c r="CM50">
        <f>1900</f>
        <v>1900</v>
      </c>
      <c r="CN50">
        <f>2100</f>
        <v>2100</v>
      </c>
      <c r="CO50">
        <f>1600</f>
        <v>1600</v>
      </c>
      <c r="CP50">
        <f>1900</f>
        <v>1900</v>
      </c>
      <c r="CQ50">
        <f>2100</f>
        <v>2100</v>
      </c>
      <c r="CR50">
        <f>2300</f>
        <v>2300</v>
      </c>
      <c r="CS50">
        <f>1900</f>
        <v>1900</v>
      </c>
      <c r="CT50">
        <f>2700</f>
        <v>2700</v>
      </c>
      <c r="CU50">
        <f>2900</f>
        <v>2900</v>
      </c>
      <c r="CV50">
        <f>2700</f>
        <v>2700</v>
      </c>
      <c r="CW50">
        <f>1800</f>
        <v>1800</v>
      </c>
      <c r="CX50">
        <f>1800</f>
        <v>1800</v>
      </c>
      <c r="CY50">
        <f>2300</f>
        <v>2300</v>
      </c>
      <c r="CZ50">
        <f>2500</f>
        <v>2500</v>
      </c>
      <c r="DA50">
        <f>1800</f>
        <v>1800</v>
      </c>
      <c r="DB50">
        <f>1700</f>
        <v>1700</v>
      </c>
      <c r="DC50">
        <f>2100</f>
        <v>2100</v>
      </c>
      <c r="DD50">
        <f>2000</f>
        <v>2000</v>
      </c>
      <c r="DE50">
        <f>1700</f>
        <v>1700</v>
      </c>
      <c r="DF50">
        <f>2600</f>
        <v>2600</v>
      </c>
      <c r="DG50">
        <f>4800</f>
        <v>4800</v>
      </c>
      <c r="DH50">
        <f>7500</f>
        <v>7500</v>
      </c>
      <c r="DI50">
        <f>7400</f>
        <v>7400</v>
      </c>
      <c r="DJ50">
        <f>7000</f>
        <v>7000</v>
      </c>
      <c r="DK50">
        <f>5800</f>
        <v>5800</v>
      </c>
      <c r="DL50">
        <f>5900</f>
        <v>5900</v>
      </c>
      <c r="DM50">
        <f>6400</f>
        <v>6400</v>
      </c>
      <c r="DN50">
        <f>7100</f>
        <v>7100</v>
      </c>
      <c r="DO50">
        <f>4500</f>
        <v>4500</v>
      </c>
      <c r="DP50">
        <f>3100</f>
        <v>3100</v>
      </c>
      <c r="DQ50">
        <f>3900</f>
        <v>3900</v>
      </c>
      <c r="DR50">
        <f>7400</f>
        <v>7400</v>
      </c>
      <c r="DS50">
        <f>5600</f>
        <v>5600</v>
      </c>
      <c r="DT50">
        <f>3800</f>
        <v>3800</v>
      </c>
      <c r="DU50" t="str">
        <f>""</f>
        <v/>
      </c>
    </row>
    <row r="51" spans="1:125">
      <c r="A51" t="str">
        <f>"    First Horizon National Corp"</f>
        <v xml:space="preserve">    First Horizon National Corp</v>
      </c>
      <c r="B51" t="str">
        <f>"FHN US Equity"</f>
        <v>FHN US Equity</v>
      </c>
      <c r="C51" t="str">
        <f t="shared" si="4"/>
        <v>IS688</v>
      </c>
      <c r="D51" t="str">
        <f t="shared" si="5"/>
        <v>IS_RESIDENTIAL_MTG_ORIGINATIONS</v>
      </c>
      <c r="E51" t="str">
        <f t="shared" si="6"/>
        <v>Dynamic</v>
      </c>
      <c r="F51" t="str">
        <f ca="1">IF(AND(ISNUMBER($F$252),$B$185=1),$F$252,HLOOKUP(INDIRECT(ADDRESS(2,COLUMN())),OFFSET($BN$2,0,0,ROW()-1,60),ROW()-1,FALSE))</f>
        <v/>
      </c>
      <c r="G51" t="str">
        <f ca="1">IF(AND(ISNUMBER($G$252),$B$185=1),$G$252,HLOOKUP(INDIRECT(ADDRESS(2,COLUMN())),OFFSET($BN$2,0,0,ROW()-1,60),ROW()-1,FALSE))</f>
        <v/>
      </c>
      <c r="H51" t="str">
        <f ca="1">IF(AND(ISNUMBER($H$252),$B$185=1),$H$252,HLOOKUP(INDIRECT(ADDRESS(2,COLUMN())),OFFSET($BN$2,0,0,ROW()-1,60),ROW()-1,FALSE))</f>
        <v/>
      </c>
      <c r="I51" t="str">
        <f ca="1">IF(AND(ISNUMBER($I$252),$B$185=1),$I$252,HLOOKUP(INDIRECT(ADDRESS(2,COLUMN())),OFFSET($BN$2,0,0,ROW()-1,60),ROW()-1,FALSE))</f>
        <v/>
      </c>
      <c r="J51" t="str">
        <f ca="1">IF(AND(ISNUMBER($J$252),$B$185=1),$J$252,HLOOKUP(INDIRECT(ADDRESS(2,COLUMN())),OFFSET($BN$2,0,0,ROW()-1,60),ROW()-1,FALSE))</f>
        <v/>
      </c>
      <c r="K51" t="str">
        <f ca="1">IF(AND(ISNUMBER($K$252),$B$185=1),$K$252,HLOOKUP(INDIRECT(ADDRESS(2,COLUMN())),OFFSET($BN$2,0,0,ROW()-1,60),ROW()-1,FALSE))</f>
        <v/>
      </c>
      <c r="L51" t="str">
        <f ca="1">IF(AND(ISNUMBER($L$252),$B$185=1),$L$252,HLOOKUP(INDIRECT(ADDRESS(2,COLUMN())),OFFSET($BN$2,0,0,ROW()-1,60),ROW()-1,FALSE))</f>
        <v/>
      </c>
      <c r="M51" t="str">
        <f ca="1">IF(AND(ISNUMBER($M$252),$B$185=1),$M$252,HLOOKUP(INDIRECT(ADDRESS(2,COLUMN())),OFFSET($BN$2,0,0,ROW()-1,60),ROW()-1,FALSE))</f>
        <v/>
      </c>
      <c r="N51" t="str">
        <f ca="1">IF(AND(ISNUMBER($N$252),$B$185=1),$N$252,HLOOKUP(INDIRECT(ADDRESS(2,COLUMN())),OFFSET($BN$2,0,0,ROW()-1,60),ROW()-1,FALSE))</f>
        <v/>
      </c>
      <c r="O51" t="str">
        <f ca="1">IF(AND(ISNUMBER($O$252),$B$185=1),$O$252,HLOOKUP(INDIRECT(ADDRESS(2,COLUMN())),OFFSET($BN$2,0,0,ROW()-1,60),ROW()-1,FALSE))</f>
        <v/>
      </c>
      <c r="P51" t="str">
        <f ca="1">IF(AND(ISNUMBER($P$252),$B$185=1),$P$252,HLOOKUP(INDIRECT(ADDRESS(2,COLUMN())),OFFSET($BN$2,0,0,ROW()-1,60),ROW()-1,FALSE))</f>
        <v/>
      </c>
      <c r="Q51" t="str">
        <f ca="1">IF(AND(ISNUMBER($Q$252),$B$185=1),$Q$252,HLOOKUP(INDIRECT(ADDRESS(2,COLUMN())),OFFSET($BN$2,0,0,ROW()-1,60),ROW()-1,FALSE))</f>
        <v/>
      </c>
      <c r="R51" t="str">
        <f ca="1">IF(AND(ISNUMBER($R$252),$B$185=1),$R$252,HLOOKUP(INDIRECT(ADDRESS(2,COLUMN())),OFFSET($BN$2,0,0,ROW()-1,60),ROW()-1,FALSE))</f>
        <v/>
      </c>
      <c r="S51" t="str">
        <f ca="1">IF(AND(ISNUMBER($S$252),$B$185=1),$S$252,HLOOKUP(INDIRECT(ADDRESS(2,COLUMN())),OFFSET($BN$2,0,0,ROW()-1,60),ROW()-1,FALSE))</f>
        <v/>
      </c>
      <c r="T51" t="str">
        <f ca="1">IF(AND(ISNUMBER($T$252),$B$185=1),$T$252,HLOOKUP(INDIRECT(ADDRESS(2,COLUMN())),OFFSET($BN$2,0,0,ROW()-1,60),ROW()-1,FALSE))</f>
        <v/>
      </c>
      <c r="U51" t="str">
        <f ca="1">IF(AND(ISNUMBER($U$252),$B$185=1),$U$252,HLOOKUP(INDIRECT(ADDRESS(2,COLUMN())),OFFSET($BN$2,0,0,ROW()-1,60),ROW()-1,FALSE))</f>
        <v/>
      </c>
      <c r="V51" t="str">
        <f ca="1">IF(AND(ISNUMBER($V$252),$B$185=1),$V$252,HLOOKUP(INDIRECT(ADDRESS(2,COLUMN())),OFFSET($BN$2,0,0,ROW()-1,60),ROW()-1,FALSE))</f>
        <v/>
      </c>
      <c r="W51" t="str">
        <f ca="1">IF(AND(ISNUMBER($W$252),$B$185=1),$W$252,HLOOKUP(INDIRECT(ADDRESS(2,COLUMN())),OFFSET($BN$2,0,0,ROW()-1,60),ROW()-1,FALSE))</f>
        <v/>
      </c>
      <c r="X51" t="str">
        <f ca="1">IF(AND(ISNUMBER($X$252),$B$185=1),$X$252,HLOOKUP(INDIRECT(ADDRESS(2,COLUMN())),OFFSET($BN$2,0,0,ROW()-1,60),ROW()-1,FALSE))</f>
        <v/>
      </c>
      <c r="Y51" t="str">
        <f ca="1">IF(AND(ISNUMBER($Y$252),$B$185=1),$Y$252,HLOOKUP(INDIRECT(ADDRESS(2,COLUMN())),OFFSET($BN$2,0,0,ROW()-1,60),ROW()-1,FALSE))</f>
        <v/>
      </c>
      <c r="Z51" t="str">
        <f ca="1">IF(AND(ISNUMBER($Z$252),$B$185=1),$Z$252,HLOOKUP(INDIRECT(ADDRESS(2,COLUMN())),OFFSET($BN$2,0,0,ROW()-1,60),ROW()-1,FALSE))</f>
        <v/>
      </c>
      <c r="AA51" t="str">
        <f ca="1">IF(AND(ISNUMBER($AA$252),$B$185=1),$AA$252,HLOOKUP(INDIRECT(ADDRESS(2,COLUMN())),OFFSET($BN$2,0,0,ROW()-1,60),ROW()-1,FALSE))</f>
        <v/>
      </c>
      <c r="AB51" t="str">
        <f ca="1">IF(AND(ISNUMBER($AB$252),$B$185=1),$AB$252,HLOOKUP(INDIRECT(ADDRESS(2,COLUMN())),OFFSET($BN$2,0,0,ROW()-1,60),ROW()-1,FALSE))</f>
        <v/>
      </c>
      <c r="AC51" t="str">
        <f ca="1">IF(AND(ISNUMBER($AC$252),$B$185=1),$AC$252,HLOOKUP(INDIRECT(ADDRESS(2,COLUMN())),OFFSET($BN$2,0,0,ROW()-1,60),ROW()-1,FALSE))</f>
        <v/>
      </c>
      <c r="AD51" t="str">
        <f ca="1">IF(AND(ISNUMBER($AD$252),$B$185=1),$AD$252,HLOOKUP(INDIRECT(ADDRESS(2,COLUMN())),OFFSET($BN$2,0,0,ROW()-1,60),ROW()-1,FALSE))</f>
        <v/>
      </c>
      <c r="AE51" t="str">
        <f ca="1">IF(AND(ISNUMBER($AE$252),$B$185=1),$AE$252,HLOOKUP(INDIRECT(ADDRESS(2,COLUMN())),OFFSET($BN$2,0,0,ROW()-1,60),ROW()-1,FALSE))</f>
        <v/>
      </c>
      <c r="AF51" t="str">
        <f ca="1">IF(AND(ISNUMBER($AF$252),$B$185=1),$AF$252,HLOOKUP(INDIRECT(ADDRESS(2,COLUMN())),OFFSET($BN$2,0,0,ROW()-1,60),ROW()-1,FALSE))</f>
        <v/>
      </c>
      <c r="AG51" t="str">
        <f ca="1">IF(AND(ISNUMBER($AG$252),$B$185=1),$AG$252,HLOOKUP(INDIRECT(ADDRESS(2,COLUMN())),OFFSET($BN$2,0,0,ROW()-1,60),ROW()-1,FALSE))</f>
        <v/>
      </c>
      <c r="AH51" t="str">
        <f ca="1">IF(AND(ISNUMBER($AH$252),$B$185=1),$AH$252,HLOOKUP(INDIRECT(ADDRESS(2,COLUMN())),OFFSET($BN$2,0,0,ROW()-1,60),ROW()-1,FALSE))</f>
        <v/>
      </c>
      <c r="AI51" t="str">
        <f ca="1">IF(AND(ISNUMBER($AI$252),$B$185=1),$AI$252,HLOOKUP(INDIRECT(ADDRESS(2,COLUMN())),OFFSET($BN$2,0,0,ROW()-1,60),ROW()-1,FALSE))</f>
        <v/>
      </c>
      <c r="AJ51" t="str">
        <f ca="1">IF(AND(ISNUMBER($AJ$252),$B$185=1),$AJ$252,HLOOKUP(INDIRECT(ADDRESS(2,COLUMN())),OFFSET($BN$2,0,0,ROW()-1,60),ROW()-1,FALSE))</f>
        <v/>
      </c>
      <c r="AK51" t="str">
        <f ca="1">IF(AND(ISNUMBER($AK$252),$B$185=1),$AK$252,HLOOKUP(INDIRECT(ADDRESS(2,COLUMN())),OFFSET($BN$2,0,0,ROW()-1,60),ROW()-1,FALSE))</f>
        <v/>
      </c>
      <c r="AL51" t="str">
        <f ca="1">IF(AND(ISNUMBER($AL$252),$B$185=1),$AL$252,HLOOKUP(INDIRECT(ADDRESS(2,COLUMN())),OFFSET($BN$2,0,0,ROW()-1,60),ROW()-1,FALSE))</f>
        <v/>
      </c>
      <c r="AM51" t="str">
        <f ca="1">IF(AND(ISNUMBER($AM$252),$B$185=1),$AM$252,HLOOKUP(INDIRECT(ADDRESS(2,COLUMN())),OFFSET($BN$2,0,0,ROW()-1,60),ROW()-1,FALSE))</f>
        <v/>
      </c>
      <c r="AN51" t="str">
        <f ca="1">IF(AND(ISNUMBER($AN$252),$B$185=1),$AN$252,HLOOKUP(INDIRECT(ADDRESS(2,COLUMN())),OFFSET($BN$2,0,0,ROW()-1,60),ROW()-1,FALSE))</f>
        <v/>
      </c>
      <c r="AO51" t="str">
        <f ca="1">IF(AND(ISNUMBER($AO$252),$B$185=1),$AO$252,HLOOKUP(INDIRECT(ADDRESS(2,COLUMN())),OFFSET($BN$2,0,0,ROW()-1,60),ROW()-1,FALSE))</f>
        <v/>
      </c>
      <c r="AP51" t="str">
        <f ca="1">IF(AND(ISNUMBER($AP$252),$B$185=1),$AP$252,HLOOKUP(INDIRECT(ADDRESS(2,COLUMN())),OFFSET($BN$2,0,0,ROW()-1,60),ROW()-1,FALSE))</f>
        <v/>
      </c>
      <c r="AQ51" t="str">
        <f ca="1">IF(AND(ISNUMBER($AQ$252),$B$185=1),$AQ$252,HLOOKUP(INDIRECT(ADDRESS(2,COLUMN())),OFFSET($BN$2,0,0,ROW()-1,60),ROW()-1,FALSE))</f>
        <v/>
      </c>
      <c r="AR51" t="str">
        <f ca="1">IF(AND(ISNUMBER($AR$252),$B$185=1),$AR$252,HLOOKUP(INDIRECT(ADDRESS(2,COLUMN())),OFFSET($BN$2,0,0,ROW()-1,60),ROW()-1,FALSE))</f>
        <v/>
      </c>
      <c r="AS51" t="str">
        <f ca="1">IF(AND(ISNUMBER($AS$252),$B$185=1),$AS$252,HLOOKUP(INDIRECT(ADDRESS(2,COLUMN())),OFFSET($BN$2,0,0,ROW()-1,60),ROW()-1,FALSE))</f>
        <v/>
      </c>
      <c r="AT51" t="str">
        <f ca="1">IF(AND(ISNUMBER($AT$252),$B$185=1),$AT$252,HLOOKUP(INDIRECT(ADDRESS(2,COLUMN())),OFFSET($BN$2,0,0,ROW()-1,60),ROW()-1,FALSE))</f>
        <v/>
      </c>
      <c r="AU51" t="str">
        <f ca="1">IF(AND(ISNUMBER($AU$252),$B$185=1),$AU$252,HLOOKUP(INDIRECT(ADDRESS(2,COLUMN())),OFFSET($BN$2,0,0,ROW()-1,60),ROW()-1,FALSE))</f>
        <v/>
      </c>
      <c r="AV51" t="str">
        <f ca="1">IF(AND(ISNUMBER($AV$252),$B$185=1),$AV$252,HLOOKUP(INDIRECT(ADDRESS(2,COLUMN())),OFFSET($BN$2,0,0,ROW()-1,60),ROW()-1,FALSE))</f>
        <v/>
      </c>
      <c r="AW51" t="str">
        <f ca="1">IF(AND(ISNUMBER($AW$252),$B$185=1),$AW$252,HLOOKUP(INDIRECT(ADDRESS(2,COLUMN())),OFFSET($BN$2,0,0,ROW()-1,60),ROW()-1,FALSE))</f>
        <v/>
      </c>
      <c r="AX51" t="str">
        <f ca="1">IF(AND(ISNUMBER($AX$252),$B$185=1),$AX$252,HLOOKUP(INDIRECT(ADDRESS(2,COLUMN())),OFFSET($BN$2,0,0,ROW()-1,60),ROW()-1,FALSE))</f>
        <v/>
      </c>
      <c r="AY51" t="str">
        <f ca="1">IF(AND(ISNUMBER($AY$252),$B$185=1),$AY$252,HLOOKUP(INDIRECT(ADDRESS(2,COLUMN())),OFFSET($BN$2,0,0,ROW()-1,60),ROW()-1,FALSE))</f>
        <v/>
      </c>
      <c r="AZ51" t="str">
        <f ca="1">IF(AND(ISNUMBER($AZ$252),$B$185=1),$AZ$252,HLOOKUP(INDIRECT(ADDRESS(2,COLUMN())),OFFSET($BN$2,0,0,ROW()-1,60),ROW()-1,FALSE))</f>
        <v/>
      </c>
      <c r="BA51" t="str">
        <f ca="1">IF(AND(ISNUMBER($BA$252),$B$185=1),$BA$252,HLOOKUP(INDIRECT(ADDRESS(2,COLUMN())),OFFSET($BN$2,0,0,ROW()-1,60),ROW()-1,FALSE))</f>
        <v/>
      </c>
      <c r="BB51" t="str">
        <f ca="1">IF(AND(ISNUMBER($BB$252),$B$185=1),$BB$252,HLOOKUP(INDIRECT(ADDRESS(2,COLUMN())),OFFSET($BN$2,0,0,ROW()-1,60),ROW()-1,FALSE))</f>
        <v/>
      </c>
      <c r="BC51" t="str">
        <f ca="1">IF(AND(ISNUMBER($BC$252),$B$185=1),$BC$252,HLOOKUP(INDIRECT(ADDRESS(2,COLUMN())),OFFSET($BN$2,0,0,ROW()-1,60),ROW()-1,FALSE))</f>
        <v/>
      </c>
      <c r="BD51" t="str">
        <f ca="1">IF(AND(ISNUMBER($BD$252),$B$185=1),$BD$252,HLOOKUP(INDIRECT(ADDRESS(2,COLUMN())),OFFSET($BN$2,0,0,ROW()-1,60),ROW()-1,FALSE))</f>
        <v/>
      </c>
      <c r="BE51" t="str">
        <f ca="1">IF(AND(ISNUMBER($BE$252),$B$185=1),$BE$252,HLOOKUP(INDIRECT(ADDRESS(2,COLUMN())),OFFSET($BN$2,0,0,ROW()-1,60),ROW()-1,FALSE))</f>
        <v/>
      </c>
      <c r="BF51" t="str">
        <f ca="1">IF(AND(ISNUMBER($BF$252),$B$185=1),$BF$252,HLOOKUP(INDIRECT(ADDRESS(2,COLUMN())),OFFSET($BN$2,0,0,ROW()-1,60),ROW()-1,FALSE))</f>
        <v/>
      </c>
      <c r="BG51" t="str">
        <f ca="1">IF(AND(ISNUMBER($BG$252),$B$185=1),$BG$252,HLOOKUP(INDIRECT(ADDRESS(2,COLUMN())),OFFSET($BN$2,0,0,ROW()-1,60),ROW()-1,FALSE))</f>
        <v/>
      </c>
      <c r="BH51" t="str">
        <f ca="1">IF(AND(ISNUMBER($BH$252),$B$185=1),$BH$252,HLOOKUP(INDIRECT(ADDRESS(2,COLUMN())),OFFSET($BN$2,0,0,ROW()-1,60),ROW()-1,FALSE))</f>
        <v/>
      </c>
      <c r="BI51" t="str">
        <f ca="1">IF(AND(ISNUMBER($BI$252),$B$185=1),$BI$252,HLOOKUP(INDIRECT(ADDRESS(2,COLUMN())),OFFSET($BN$2,0,0,ROW()-1,60),ROW()-1,FALSE))</f>
        <v/>
      </c>
      <c r="BJ51" t="str">
        <f ca="1">IF(AND(ISNUMBER($BJ$252),$B$185=1),$BJ$252,HLOOKUP(INDIRECT(ADDRESS(2,COLUMN())),OFFSET($BN$2,0,0,ROW()-1,60),ROW()-1,FALSE))</f>
        <v/>
      </c>
      <c r="BK51">
        <f ca="1">IF(AND(ISNUMBER($BK$252),$B$185=1),$BK$252,HLOOKUP(INDIRECT(ADDRESS(2,COLUMN())),OFFSET($BN$2,0,0,ROW()-1,60),ROW()-1,FALSE))</f>
        <v>225</v>
      </c>
      <c r="BL51">
        <f ca="1">IF(AND(ISNUMBER($BL$252),$B$185=1),$BL$252,HLOOKUP(INDIRECT(ADDRESS(2,COLUMN())),OFFSET($BN$2,0,0,ROW()-1,60),ROW()-1,FALSE))</f>
        <v>176</v>
      </c>
      <c r="BM51" t="str">
        <f ca="1">IF(AND(ISNUMBER($BM$252),$B$185=1),$BM$252,HLOOKUP(INDIRECT(ADDRESS(2,COLUMN())),OFFSET($BN$2,0,0,ROW()-1,60),ROW()-1,FALSE))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>
        <f>225</f>
        <v>225</v>
      </c>
      <c r="DT51">
        <f>176</f>
        <v>176</v>
      </c>
      <c r="DU51" t="str">
        <f>""</f>
        <v/>
      </c>
    </row>
    <row r="52" spans="1:125">
      <c r="A52" t="str">
        <f>"    Huntington Bancshares Inc/OH"</f>
        <v xml:space="preserve">    Huntington Bancshares Inc/OH</v>
      </c>
      <c r="B52" t="str">
        <f>"HBAN US Equity"</f>
        <v>HBAN US Equity</v>
      </c>
      <c r="C52" t="str">
        <f t="shared" si="4"/>
        <v>IS688</v>
      </c>
      <c r="D52" t="str">
        <f t="shared" si="5"/>
        <v>IS_RESIDENTIAL_MTG_ORIGINATIONS</v>
      </c>
      <c r="E52" t="str">
        <f t="shared" si="6"/>
        <v>Dynamic</v>
      </c>
      <c r="F52">
        <f ca="1">IF(AND(ISNUMBER($F$253),$B$185=1),$F$253,HLOOKUP(INDIRECT(ADDRESS(2,COLUMN())),OFFSET($BN$2,0,0,ROW()-1,60),ROW()-1,FALSE))</f>
        <v>2093</v>
      </c>
      <c r="G52">
        <f ca="1">IF(AND(ISNUMBER($G$253),$B$185=1),$G$253,HLOOKUP(INDIRECT(ADDRESS(2,COLUMN())),OFFSET($BN$2,0,0,ROW()-1,60),ROW()-1,FALSE))</f>
        <v>1883</v>
      </c>
      <c r="H52">
        <f ca="1">IF(AND(ISNUMBER($H$253),$B$185=1),$H$253,HLOOKUP(INDIRECT(ADDRESS(2,COLUMN())),OFFSET($BN$2,0,0,ROW()-1,60),ROW()-1,FALSE))</f>
        <v>2164</v>
      </c>
      <c r="I52">
        <f ca="1">IF(AND(ISNUMBER($I$253),$B$185=1),$I$253,HLOOKUP(INDIRECT(ADDRESS(2,COLUMN())),OFFSET($BN$2,0,0,ROW()-1,60),ROW()-1,FALSE))</f>
        <v>1276</v>
      </c>
      <c r="J52">
        <f ca="1">IF(AND(ISNUMBER($J$253),$B$185=1),$J$253,HLOOKUP(INDIRECT(ADDRESS(2,COLUMN())),OFFSET($BN$2,0,0,ROW()-1,60),ROW()-1,FALSE))</f>
        <v>1666</v>
      </c>
      <c r="K52">
        <f ca="1">IF(AND(ISNUMBER($K$253),$B$185=1),$K$253,HLOOKUP(INDIRECT(ADDRESS(2,COLUMN())),OFFSET($BN$2,0,0,ROW()-1,60),ROW()-1,FALSE))</f>
        <v>2020</v>
      </c>
      <c r="L52">
        <f ca="1">IF(AND(ISNUMBER($L$253),$B$185=1),$L$253,HLOOKUP(INDIRECT(ADDRESS(2,COLUMN())),OFFSET($BN$2,0,0,ROW()-1,60),ROW()-1,FALSE))</f>
        <v>2504</v>
      </c>
      <c r="M52">
        <f ca="1">IF(AND(ISNUMBER($M$253),$B$185=1),$M$253,HLOOKUP(INDIRECT(ADDRESS(2,COLUMN())),OFFSET($BN$2,0,0,ROW()-1,60),ROW()-1,FALSE))</f>
        <v>1412</v>
      </c>
      <c r="N52">
        <f ca="1">IF(AND(ISNUMBER($N$253),$B$185=1),$N$253,HLOOKUP(INDIRECT(ADDRESS(2,COLUMN())),OFFSET($BN$2,0,0,ROW()-1,60),ROW()-1,FALSE))</f>
        <v>1719</v>
      </c>
      <c r="O52">
        <f ca="1">IF(AND(ISNUMBER($O$253),$B$185=1),$O$253,HLOOKUP(INDIRECT(ADDRESS(2,COLUMN())),OFFSET($BN$2,0,0,ROW()-1,60),ROW()-1,FALSE))</f>
        <v>2491</v>
      </c>
      <c r="P52">
        <f ca="1">IF(AND(ISNUMBER($P$253),$B$185=1),$P$253,HLOOKUP(INDIRECT(ADDRESS(2,COLUMN())),OFFSET($BN$2,0,0,ROW()-1,60),ROW()-1,FALSE))</f>
        <v>3366</v>
      </c>
      <c r="Q52">
        <f ca="1">IF(AND(ISNUMBER($Q$253),$B$185=1),$Q$253,HLOOKUP(INDIRECT(ADDRESS(2,COLUMN())),OFFSET($BN$2,0,0,ROW()-1,60),ROW()-1,FALSE))</f>
        <v>2881</v>
      </c>
      <c r="R52">
        <f ca="1">IF(AND(ISNUMBER($R$253),$B$185=1),$R$253,HLOOKUP(INDIRECT(ADDRESS(2,COLUMN())),OFFSET($BN$2,0,0,ROW()-1,60),ROW()-1,FALSE))</f>
        <v>3880</v>
      </c>
      <c r="S52">
        <f ca="1">IF(AND(ISNUMBER($S$253),$B$185=1),$S$253,HLOOKUP(INDIRECT(ADDRESS(2,COLUMN())),OFFSET($BN$2,0,0,ROW()-1,60),ROW()-1,FALSE))</f>
        <v>4467</v>
      </c>
      <c r="T52">
        <f ca="1">IF(AND(ISNUMBER($T$253),$B$185=1),$T$253,HLOOKUP(INDIRECT(ADDRESS(2,COLUMN())),OFFSET($BN$2,0,0,ROW()-1,60),ROW()-1,FALSE))</f>
        <v>4007</v>
      </c>
      <c r="U52">
        <f ca="1">IF(AND(ISNUMBER($U$253),$B$185=1),$U$253,HLOOKUP(INDIRECT(ADDRESS(2,COLUMN())),OFFSET($BN$2,0,0,ROW()-1,60),ROW()-1,FALSE))</f>
        <v>4042</v>
      </c>
      <c r="V52">
        <f ca="1">IF(AND(ISNUMBER($V$253),$B$185=1),$V$253,HLOOKUP(INDIRECT(ADDRESS(2,COLUMN())),OFFSET($BN$2,0,0,ROW()-1,60),ROW()-1,FALSE))</f>
        <v>3741</v>
      </c>
      <c r="W52">
        <f ca="1">IF(AND(ISNUMBER($W$253),$B$185=1),$W$253,HLOOKUP(INDIRECT(ADDRESS(2,COLUMN())),OFFSET($BN$2,0,0,ROW()-1,60),ROW()-1,FALSE))</f>
        <v>3811</v>
      </c>
      <c r="X52">
        <f ca="1">IF(AND(ISNUMBER($X$253),$B$185=1),$X$253,HLOOKUP(INDIRECT(ADDRESS(2,COLUMN())),OFFSET($BN$2,0,0,ROW()-1,60),ROW()-1,FALSE))</f>
        <v>3802</v>
      </c>
      <c r="Y52">
        <f ca="1">IF(AND(ISNUMBER($Y$253),$B$185=1),$Y$253,HLOOKUP(INDIRECT(ADDRESS(2,COLUMN())),OFFSET($BN$2,0,0,ROW()-1,60),ROW()-1,FALSE))</f>
        <v>2136</v>
      </c>
      <c r="Z52">
        <f ca="1">IF(AND(ISNUMBER($Z$253),$B$185=1),$Z$253,HLOOKUP(INDIRECT(ADDRESS(2,COLUMN())),OFFSET($BN$2,0,0,ROW()-1,60),ROW()-1,FALSE))</f>
        <v>2490</v>
      </c>
      <c r="AA52">
        <f ca="1">IF(AND(ISNUMBER($AA$253),$B$185=1),$AA$253,HLOOKUP(INDIRECT(ADDRESS(2,COLUMN())),OFFSET($BN$2,0,0,ROW()-1,60),ROW()-1,FALSE))</f>
        <v>2097</v>
      </c>
      <c r="AB52">
        <f ca="1">IF(AND(ISNUMBER($AB$253),$B$185=1),$AB$253,HLOOKUP(INDIRECT(ADDRESS(2,COLUMN())),OFFSET($BN$2,0,0,ROW()-1,60),ROW()-1,FALSE))</f>
        <v>1922</v>
      </c>
      <c r="AC52">
        <f ca="1">IF(AND(ISNUMBER($AC$253),$B$185=1),$AC$253,HLOOKUP(INDIRECT(ADDRESS(2,COLUMN())),OFFSET($BN$2,0,0,ROW()-1,60),ROW()-1,FALSE))</f>
        <v>1235</v>
      </c>
      <c r="AD52">
        <f ca="1">IF(AND(ISNUMBER($AD$253),$B$185=1),$AD$253,HLOOKUP(INDIRECT(ADDRESS(2,COLUMN())),OFFSET($BN$2,0,0,ROW()-1,60),ROW()-1,FALSE))</f>
        <v>1538</v>
      </c>
      <c r="AE52">
        <f ca="1">IF(AND(ISNUMBER($AE$253),$B$185=1),$AE$253,HLOOKUP(INDIRECT(ADDRESS(2,COLUMN())),OFFSET($BN$2,0,0,ROW()-1,60),ROW()-1,FALSE))</f>
        <v>1818</v>
      </c>
      <c r="AF52">
        <f ca="1">IF(AND(ISNUMBER($AF$253),$B$185=1),$AF$253,HLOOKUP(INDIRECT(ADDRESS(2,COLUMN())),OFFSET($BN$2,0,0,ROW()-1,60),ROW()-1,FALSE))</f>
        <v>2127</v>
      </c>
      <c r="AG52">
        <f ca="1">IF(AND(ISNUMBER($AG$253),$B$185=1),$AG$253,HLOOKUP(INDIRECT(ADDRESS(2,COLUMN())),OFFSET($BN$2,0,0,ROW()-1,60),ROW()-1,FALSE))</f>
        <v>1513</v>
      </c>
      <c r="AH52">
        <f ca="1">IF(AND(ISNUMBER($AH$253),$B$185=1),$AH$253,HLOOKUP(INDIRECT(ADDRESS(2,COLUMN())),OFFSET($BN$2,0,0,ROW()-1,60),ROW()-1,FALSE))</f>
        <v>1784</v>
      </c>
      <c r="AI52">
        <f ca="1">IF(AND(ISNUMBER($AI$253),$B$185=1),$AI$253,HLOOKUP(INDIRECT(ADDRESS(2,COLUMN())),OFFSET($BN$2,0,0,ROW()-1,60),ROW()-1,FALSE))</f>
        <v>1828</v>
      </c>
      <c r="AJ52">
        <f ca="1">IF(AND(ISNUMBER($AJ$253),$B$185=1),$AJ$253,HLOOKUP(INDIRECT(ADDRESS(2,COLUMN())),OFFSET($BN$2,0,0,ROW()-1,60),ROW()-1,FALSE))</f>
        <v>1756</v>
      </c>
      <c r="AK52">
        <f ca="1">IF(AND(ISNUMBER($AK$253),$B$185=1),$AK$253,HLOOKUP(INDIRECT(ADDRESS(2,COLUMN())),OFFSET($BN$2,0,0,ROW()-1,60),ROW()-1,FALSE))</f>
        <v>1266</v>
      </c>
      <c r="AL52">
        <f ca="1">IF(AND(ISNUMBER($AL$253),$B$185=1),$AL$253,HLOOKUP(INDIRECT(ADDRESS(2,COLUMN())),OFFSET($BN$2,0,0,ROW()-1,60),ROW()-1,FALSE))</f>
        <v>1542</v>
      </c>
      <c r="AM52">
        <f ca="1">IF(AND(ISNUMBER($AM$253),$B$185=1),$AM$253,HLOOKUP(INDIRECT(ADDRESS(2,COLUMN())),OFFSET($BN$2,0,0,ROW()-1,60),ROW()-1,FALSE))</f>
        <v>1745</v>
      </c>
      <c r="AN52">
        <f ca="1">IF(AND(ISNUMBER($AN$253),$B$185=1),$AN$253,HLOOKUP(INDIRECT(ADDRESS(2,COLUMN())),OFFSET($BN$2,0,0,ROW()-1,60),ROW()-1,FALSE))</f>
        <v>1599</v>
      </c>
      <c r="AO52">
        <f ca="1">IF(AND(ISNUMBER($AO$253),$B$185=1),$AO$253,HLOOKUP(INDIRECT(ADDRESS(2,COLUMN())),OFFSET($BN$2,0,0,ROW()-1,60),ROW()-1,FALSE))</f>
        <v>936</v>
      </c>
      <c r="AP52">
        <f ca="1">IF(AND(ISNUMBER($AP$253),$B$185=1),$AP$253,HLOOKUP(INDIRECT(ADDRESS(2,COLUMN())),OFFSET($BN$2,0,0,ROW()-1,60),ROW()-1,FALSE))</f>
        <v>1011</v>
      </c>
      <c r="AQ52">
        <f ca="1">IF(AND(ISNUMBER($AQ$253),$B$185=1),$AQ$253,HLOOKUP(INDIRECT(ADDRESS(2,COLUMN())),OFFSET($BN$2,0,0,ROW()-1,60),ROW()-1,FALSE))</f>
        <v>1258</v>
      </c>
      <c r="AR52">
        <f ca="1">IF(AND(ISNUMBER($AR$253),$B$185=1),$AR$253,HLOOKUP(INDIRECT(ADDRESS(2,COLUMN())),OFFSET($BN$2,0,0,ROW()-1,60),ROW()-1,FALSE))</f>
        <v>1455</v>
      </c>
      <c r="AS52">
        <f ca="1">IF(AND(ISNUMBER($AS$253),$B$185=1),$AS$253,HLOOKUP(INDIRECT(ADDRESS(2,COLUMN())),OFFSET($BN$2,0,0,ROW()-1,60),ROW()-1,FALSE))</f>
        <v>980</v>
      </c>
      <c r="AT52">
        <f ca="1">IF(AND(ISNUMBER($AT$253),$B$185=1),$AT$253,HLOOKUP(INDIRECT(ADDRESS(2,COLUMN())),OFFSET($BN$2,0,0,ROW()-1,60),ROW()-1,FALSE))</f>
        <v>922</v>
      </c>
      <c r="AU52">
        <f ca="1">IF(AND(ISNUMBER($AU$253),$B$185=1),$AU$253,HLOOKUP(INDIRECT(ADDRESS(2,COLUMN())),OFFSET($BN$2,0,0,ROW()-1,60),ROW()-1,FALSE))</f>
        <v>997</v>
      </c>
      <c r="AV52">
        <f ca="1">IF(AND(ISNUMBER($AV$253),$B$185=1),$AV$253,HLOOKUP(INDIRECT(ADDRESS(2,COLUMN())),OFFSET($BN$2,0,0,ROW()-1,60),ROW()-1,FALSE))</f>
        <v>982</v>
      </c>
      <c r="AW52">
        <f ca="1">IF(AND(ISNUMBER($AW$253),$B$185=1),$AW$253,HLOOKUP(INDIRECT(ADDRESS(2,COLUMN())),OFFSET($BN$2,0,0,ROW()-1,60),ROW()-1,FALSE))</f>
        <v>657</v>
      </c>
      <c r="AX52">
        <f ca="1">IF(AND(ISNUMBER($AX$253),$B$185=1),$AX$253,HLOOKUP(INDIRECT(ADDRESS(2,COLUMN())),OFFSET($BN$2,0,0,ROW()-1,60),ROW()-1,FALSE))</f>
        <v>841</v>
      </c>
      <c r="AY52">
        <f ca="1">IF(AND(ISNUMBER($AY$253),$B$185=1),$AY$253,HLOOKUP(INDIRECT(ADDRESS(2,COLUMN())),OFFSET($BN$2,0,0,ROW()-1,60),ROW()-1,FALSE))</f>
        <v>1176</v>
      </c>
      <c r="AZ52">
        <f ca="1">IF(AND(ISNUMBER($AZ$253),$B$185=1),$AZ$253,HLOOKUP(INDIRECT(ADDRESS(2,COLUMN())),OFFSET($BN$2,0,0,ROW()-1,60),ROW()-1,FALSE))</f>
        <v>1282</v>
      </c>
      <c r="BA52">
        <f ca="1">IF(AND(ISNUMBER($BA$253),$B$185=1),$BA$253,HLOOKUP(INDIRECT(ADDRESS(2,COLUMN())),OFFSET($BN$2,0,0,ROW()-1,60),ROW()-1,FALSE))</f>
        <v>1119</v>
      </c>
      <c r="BB52">
        <f ca="1">IF(AND(ISNUMBER($BB$253),$B$185=1),$BB$253,HLOOKUP(INDIRECT(ADDRESS(2,COLUMN())),OFFSET($BN$2,0,0,ROW()-1,60),ROW()-1,FALSE))</f>
        <v>1161</v>
      </c>
      <c r="BC52">
        <f ca="1">IF(AND(ISNUMBER($BC$253),$B$185=1),$BC$253,HLOOKUP(INDIRECT(ADDRESS(2,COLUMN())),OFFSET($BN$2,0,0,ROW()-1,60),ROW()-1,FALSE))</f>
        <v>1224</v>
      </c>
      <c r="BD52">
        <f ca="1">IF(AND(ISNUMBER($BD$253),$B$185=1),$BD$253,HLOOKUP(INDIRECT(ADDRESS(2,COLUMN())),OFFSET($BN$2,0,0,ROW()-1,60),ROW()-1,FALSE))</f>
        <v>2448</v>
      </c>
      <c r="BE52">
        <f ca="1">IF(AND(ISNUMBER($BE$253),$B$185=1),$BE$253,HLOOKUP(INDIRECT(ADDRESS(2,COLUMN())),OFFSET($BN$2,0,0,ROW()-1,60),ROW()-1,FALSE))</f>
        <v>1157</v>
      </c>
      <c r="BF52">
        <f ca="1">IF(AND(ISNUMBER($BF$253),$B$185=1),$BF$253,HLOOKUP(INDIRECT(ADDRESS(2,COLUMN())),OFFSET($BN$2,0,0,ROW()-1,60),ROW()-1,FALSE))</f>
        <v>1123</v>
      </c>
      <c r="BG52">
        <f ca="1">IF(AND(ISNUMBER($BG$253),$B$185=1),$BG$253,HLOOKUP(INDIRECT(ADDRESS(2,COLUMN())),OFFSET($BN$2,0,0,ROW()-1,60),ROW()-1,FALSE))</f>
        <v>953</v>
      </c>
      <c r="BH52">
        <f ca="1">IF(AND(ISNUMBER($BH$253),$B$185=1),$BH$253,HLOOKUP(INDIRECT(ADDRESS(2,COLUMN())),OFFSET($BN$2,0,0,ROW()-1,60),ROW()-1,FALSE))</f>
        <v>916</v>
      </c>
      <c r="BI52">
        <f ca="1">IF(AND(ISNUMBER($BI$253),$B$185=1),$BI$253,HLOOKUP(INDIRECT(ADDRESS(2,COLUMN())),OFFSET($BN$2,0,0,ROW()-1,60),ROW()-1,FALSE))</f>
        <v>929</v>
      </c>
      <c r="BJ52" t="str">
        <f ca="1">IF(AND(ISNUMBER($BJ$253),$B$185=1),$BJ$253,HLOOKUP(INDIRECT(ADDRESS(2,COLUMN())),OFFSET($BN$2,0,0,ROW()-1,60),ROW()-1,FALSE))</f>
        <v/>
      </c>
      <c r="BK52">
        <f ca="1">IF(AND(ISNUMBER($BK$253),$B$185=1),$BK$253,HLOOKUP(INDIRECT(ADDRESS(2,COLUMN())),OFFSET($BN$2,0,0,ROW()-1,60),ROW()-1,FALSE))</f>
        <v>1619</v>
      </c>
      <c r="BL52">
        <f ca="1">IF(AND(ISNUMBER($BL$253),$B$185=1),$BL$253,HLOOKUP(INDIRECT(ADDRESS(2,COLUMN())),OFFSET($BN$2,0,0,ROW()-1,60),ROW()-1,FALSE))</f>
        <v>1161</v>
      </c>
      <c r="BM52" t="str">
        <f ca="1">IF(AND(ISNUMBER($BM$253),$B$185=1),$BM$253,HLOOKUP(INDIRECT(ADDRESS(2,COLUMN())),OFFSET($BN$2,0,0,ROW()-1,60),ROW()-1,FALSE))</f>
        <v/>
      </c>
      <c r="BN52">
        <f>2093</f>
        <v>2093</v>
      </c>
      <c r="BO52">
        <f>1883</f>
        <v>1883</v>
      </c>
      <c r="BP52">
        <f>2164</f>
        <v>2164</v>
      </c>
      <c r="BQ52">
        <f>1276</f>
        <v>1276</v>
      </c>
      <c r="BR52">
        <f>1666</f>
        <v>1666</v>
      </c>
      <c r="BS52">
        <f>2020</f>
        <v>2020</v>
      </c>
      <c r="BT52">
        <f>2504</f>
        <v>2504</v>
      </c>
      <c r="BU52">
        <f>1412</f>
        <v>1412</v>
      </c>
      <c r="BV52">
        <f>1719</f>
        <v>1719</v>
      </c>
      <c r="BW52">
        <f>2491</f>
        <v>2491</v>
      </c>
      <c r="BX52">
        <f>3366</f>
        <v>3366</v>
      </c>
      <c r="BY52">
        <f>2881</f>
        <v>2881</v>
      </c>
      <c r="BZ52">
        <f>3880</f>
        <v>3880</v>
      </c>
      <c r="CA52">
        <f>4467</f>
        <v>4467</v>
      </c>
      <c r="CB52">
        <f>4007</f>
        <v>4007</v>
      </c>
      <c r="CC52">
        <f>4042</f>
        <v>4042</v>
      </c>
      <c r="CD52">
        <f>3741</f>
        <v>3741</v>
      </c>
      <c r="CE52">
        <f>3811</f>
        <v>3811</v>
      </c>
      <c r="CF52">
        <f>3802</f>
        <v>3802</v>
      </c>
      <c r="CG52">
        <f>2136</f>
        <v>2136</v>
      </c>
      <c r="CH52">
        <f>2490</f>
        <v>2490</v>
      </c>
      <c r="CI52">
        <f>2097</f>
        <v>2097</v>
      </c>
      <c r="CJ52">
        <f>1922</f>
        <v>1922</v>
      </c>
      <c r="CK52">
        <f>1235</f>
        <v>1235</v>
      </c>
      <c r="CL52">
        <f>1538</f>
        <v>1538</v>
      </c>
      <c r="CM52">
        <f>1818</f>
        <v>1818</v>
      </c>
      <c r="CN52">
        <f>2127</f>
        <v>2127</v>
      </c>
      <c r="CO52">
        <f>1513</f>
        <v>1513</v>
      </c>
      <c r="CP52">
        <f>1784</f>
        <v>1784</v>
      </c>
      <c r="CQ52">
        <f>1828</f>
        <v>1828</v>
      </c>
      <c r="CR52">
        <f>1756</f>
        <v>1756</v>
      </c>
      <c r="CS52">
        <f>1266</f>
        <v>1266</v>
      </c>
      <c r="CT52">
        <f>1542</f>
        <v>1542</v>
      </c>
      <c r="CU52">
        <f>1745</f>
        <v>1745</v>
      </c>
      <c r="CV52">
        <f>1599</f>
        <v>1599</v>
      </c>
      <c r="CW52">
        <f>936</f>
        <v>936</v>
      </c>
      <c r="CX52">
        <f>1011</f>
        <v>1011</v>
      </c>
      <c r="CY52">
        <f>1258</f>
        <v>1258</v>
      </c>
      <c r="CZ52">
        <f>1455</f>
        <v>1455</v>
      </c>
      <c r="DA52">
        <f>980</f>
        <v>980</v>
      </c>
      <c r="DB52">
        <f>922</f>
        <v>922</v>
      </c>
      <c r="DC52">
        <f>997</f>
        <v>997</v>
      </c>
      <c r="DD52">
        <f>982</f>
        <v>982</v>
      </c>
      <c r="DE52">
        <f>657</f>
        <v>657</v>
      </c>
      <c r="DF52">
        <f>841</f>
        <v>841</v>
      </c>
      <c r="DG52">
        <f>1176</f>
        <v>1176</v>
      </c>
      <c r="DH52">
        <f>1282</f>
        <v>1282</v>
      </c>
      <c r="DI52">
        <f>1119</f>
        <v>1119</v>
      </c>
      <c r="DJ52">
        <f>1161</f>
        <v>1161</v>
      </c>
      <c r="DK52">
        <f>1224</f>
        <v>1224</v>
      </c>
      <c r="DL52">
        <f>2448</f>
        <v>2448</v>
      </c>
      <c r="DM52">
        <f>1157</f>
        <v>1157</v>
      </c>
      <c r="DN52">
        <f>1123</f>
        <v>1123</v>
      </c>
      <c r="DO52">
        <f>953</f>
        <v>953</v>
      </c>
      <c r="DP52">
        <f>916</f>
        <v>916</v>
      </c>
      <c r="DQ52">
        <f>929</f>
        <v>929</v>
      </c>
      <c r="DR52" t="str">
        <f>""</f>
        <v/>
      </c>
      <c r="DS52">
        <f>1619</f>
        <v>1619</v>
      </c>
      <c r="DT52">
        <f>1161</f>
        <v>1161</v>
      </c>
      <c r="DU52" t="str">
        <f>""</f>
        <v/>
      </c>
    </row>
    <row r="53" spans="1:125">
      <c r="A53" t="str">
        <f>"    JPMorgan Chase &amp; Co"</f>
        <v xml:space="preserve">    JPMorgan Chase &amp; Co</v>
      </c>
      <c r="B53" t="str">
        <f>"JPM US Equity"</f>
        <v>JPM US Equity</v>
      </c>
      <c r="C53" t="str">
        <f t="shared" si="4"/>
        <v>IS688</v>
      </c>
      <c r="D53" t="str">
        <f t="shared" si="5"/>
        <v>IS_RESIDENTIAL_MTG_ORIGINATIONS</v>
      </c>
      <c r="E53" t="str">
        <f t="shared" si="6"/>
        <v>Dynamic</v>
      </c>
      <c r="F53">
        <f ca="1">IF(AND(ISNUMBER($F$254),$B$185=1),$F$254,HLOOKUP(INDIRECT(ADDRESS(2,COLUMN())),OFFSET($BN$2,0,0,ROW()-1,60),ROW()-1,FALSE))</f>
        <v>12100</v>
      </c>
      <c r="G53">
        <f ca="1">IF(AND(ISNUMBER($G$254),$B$185=1),$G$254,HLOOKUP(INDIRECT(ADDRESS(2,COLUMN())),OFFSET($BN$2,0,0,ROW()-1,60),ROW()-1,FALSE))</f>
        <v>11400</v>
      </c>
      <c r="H53">
        <f ca="1">IF(AND(ISNUMBER($H$254),$B$185=1),$H$254,HLOOKUP(INDIRECT(ADDRESS(2,COLUMN())),OFFSET($BN$2,0,0,ROW()-1,60),ROW()-1,FALSE))</f>
        <v>10700</v>
      </c>
      <c r="I53">
        <f ca="1">IF(AND(ISNUMBER($I$254),$B$185=1),$I$254,HLOOKUP(INDIRECT(ADDRESS(2,COLUMN())),OFFSET($BN$2,0,0,ROW()-1,60),ROW()-1,FALSE))</f>
        <v>6600</v>
      </c>
      <c r="J53">
        <f ca="1">IF(AND(ISNUMBER($J$254),$B$185=1),$J$254,HLOOKUP(INDIRECT(ADDRESS(2,COLUMN())),OFFSET($BN$2,0,0,ROW()-1,60),ROW()-1,FALSE))</f>
        <v>7200</v>
      </c>
      <c r="K53">
        <f ca="1">IF(AND(ISNUMBER($K$254),$B$185=1),$K$254,HLOOKUP(INDIRECT(ADDRESS(2,COLUMN())),OFFSET($BN$2,0,0,ROW()-1,60),ROW()-1,FALSE))</f>
        <v>11000</v>
      </c>
      <c r="L53">
        <f ca="1">IF(AND(ISNUMBER($L$254),$B$185=1),$L$254,HLOOKUP(INDIRECT(ADDRESS(2,COLUMN())),OFFSET($BN$2,0,0,ROW()-1,60),ROW()-1,FALSE))</f>
        <v>11200</v>
      </c>
      <c r="M53">
        <f ca="1">IF(AND(ISNUMBER($M$254),$B$185=1),$M$254,HLOOKUP(INDIRECT(ADDRESS(2,COLUMN())),OFFSET($BN$2,0,0,ROW()-1,60),ROW()-1,FALSE))</f>
        <v>5700</v>
      </c>
      <c r="N53">
        <f ca="1">IF(AND(ISNUMBER($N$254),$B$185=1),$N$254,HLOOKUP(INDIRECT(ADDRESS(2,COLUMN())),OFFSET($BN$2,0,0,ROW()-1,60),ROW()-1,FALSE))</f>
        <v>6700</v>
      </c>
      <c r="O53">
        <f ca="1">IF(AND(ISNUMBER($O$254),$B$185=1),$O$254,HLOOKUP(INDIRECT(ADDRESS(2,COLUMN())),OFFSET($BN$2,0,0,ROW()-1,60),ROW()-1,FALSE))</f>
        <v>12100</v>
      </c>
      <c r="P53">
        <f ca="1">IF(AND(ISNUMBER($P$254),$B$185=1),$P$254,HLOOKUP(INDIRECT(ADDRESS(2,COLUMN())),OFFSET($BN$2,0,0,ROW()-1,60),ROW()-1,FALSE))</f>
        <v>21900</v>
      </c>
      <c r="Q53">
        <f ca="1">IF(AND(ISNUMBER($Q$254),$B$185=1),$Q$254,HLOOKUP(INDIRECT(ADDRESS(2,COLUMN())),OFFSET($BN$2,0,0,ROW()-1,60),ROW()-1,FALSE))</f>
        <v>24700</v>
      </c>
      <c r="R53">
        <f ca="1">IF(AND(ISNUMBER($R$254),$B$185=1),$R$254,HLOOKUP(INDIRECT(ADDRESS(2,COLUMN())),OFFSET($BN$2,0,0,ROW()-1,60),ROW()-1,FALSE))</f>
        <v>42200</v>
      </c>
      <c r="S53">
        <f ca="1">IF(AND(ISNUMBER($S$254),$B$185=1),$S$254,HLOOKUP(INDIRECT(ADDRESS(2,COLUMN())),OFFSET($BN$2,0,0,ROW()-1,60),ROW()-1,FALSE))</f>
        <v>41600</v>
      </c>
      <c r="T53">
        <f ca="1">IF(AND(ISNUMBER($T$254),$B$185=1),$T$254,HLOOKUP(INDIRECT(ADDRESS(2,COLUMN())),OFFSET($BN$2,0,0,ROW()-1,60),ROW()-1,FALSE))</f>
        <v>39600</v>
      </c>
      <c r="U53">
        <f ca="1">IF(AND(ISNUMBER($U$254),$B$185=1),$U$254,HLOOKUP(INDIRECT(ADDRESS(2,COLUMN())),OFFSET($BN$2,0,0,ROW()-1,60),ROW()-1,FALSE))</f>
        <v>39300</v>
      </c>
      <c r="V53">
        <f ca="1">IF(AND(ISNUMBER($V$254),$B$185=1),$V$254,HLOOKUP(INDIRECT(ADDRESS(2,COLUMN())),OFFSET($BN$2,0,0,ROW()-1,60),ROW()-1,FALSE))</f>
        <v>32500</v>
      </c>
      <c r="W53">
        <f ca="1">IF(AND(ISNUMBER($W$254),$B$185=1),$W$254,HLOOKUP(INDIRECT(ADDRESS(2,COLUMN())),OFFSET($BN$2,0,0,ROW()-1,60),ROW()-1,FALSE))</f>
        <v>29000</v>
      </c>
      <c r="X53">
        <f ca="1">IF(AND(ISNUMBER($X$254),$B$185=1),$X$254,HLOOKUP(INDIRECT(ADDRESS(2,COLUMN())),OFFSET($BN$2,0,0,ROW()-1,60),ROW()-1,FALSE))</f>
        <v>24200</v>
      </c>
      <c r="Y53">
        <f ca="1">IF(AND(ISNUMBER($Y$254),$B$185=1),$Y$254,HLOOKUP(INDIRECT(ADDRESS(2,COLUMN())),OFFSET($BN$2,0,0,ROW()-1,60),ROW()-1,FALSE))</f>
        <v>28100</v>
      </c>
      <c r="Z53">
        <f ca="1">IF(AND(ISNUMBER($Z$254),$B$185=1),$Z$254,HLOOKUP(INDIRECT(ADDRESS(2,COLUMN())),OFFSET($BN$2,0,0,ROW()-1,60),ROW()-1,FALSE))</f>
        <v>33300</v>
      </c>
      <c r="AA53">
        <f ca="1">IF(AND(ISNUMBER($AA$254),$B$185=1),$AA$254,HLOOKUP(INDIRECT(ADDRESS(2,COLUMN())),OFFSET($BN$2,0,0,ROW()-1,60),ROW()-1,FALSE))</f>
        <v>32400</v>
      </c>
      <c r="AB53">
        <f ca="1">IF(AND(ISNUMBER($AB$254),$B$185=1),$AB$254,HLOOKUP(INDIRECT(ADDRESS(2,COLUMN())),OFFSET($BN$2,0,0,ROW()-1,60),ROW()-1,FALSE))</f>
        <v>24500</v>
      </c>
      <c r="AC53">
        <f ca="1">IF(AND(ISNUMBER($AC$254),$B$185=1),$AC$254,HLOOKUP(INDIRECT(ADDRESS(2,COLUMN())),OFFSET($BN$2,0,0,ROW()-1,60),ROW()-1,FALSE))</f>
        <v>15000</v>
      </c>
      <c r="AD53">
        <f ca="1">IF(AND(ISNUMBER($AD$254),$B$185=1),$AD$254,HLOOKUP(INDIRECT(ADDRESS(2,COLUMN())),OFFSET($BN$2,0,0,ROW()-1,60),ROW()-1,FALSE))</f>
        <v>17200</v>
      </c>
      <c r="AE53">
        <f ca="1">IF(AND(ISNUMBER($AE$254),$B$185=1),$AE$254,HLOOKUP(INDIRECT(ADDRESS(2,COLUMN())),OFFSET($BN$2,0,0,ROW()-1,60),ROW()-1,FALSE))</f>
        <v>22500</v>
      </c>
      <c r="AF53">
        <f ca="1">IF(AND(ISNUMBER($AF$254),$B$185=1),$AF$254,HLOOKUP(INDIRECT(ADDRESS(2,COLUMN())),OFFSET($BN$2,0,0,ROW()-1,60),ROW()-1,FALSE))</f>
        <v>21500</v>
      </c>
      <c r="AG53">
        <f ca="1">IF(AND(ISNUMBER($AG$254),$B$185=1),$AG$254,HLOOKUP(INDIRECT(ADDRESS(2,COLUMN())),OFFSET($BN$2,0,0,ROW()-1,60),ROW()-1,FALSE))</f>
        <v>18200</v>
      </c>
      <c r="AH53">
        <f ca="1">IF(AND(ISNUMBER($AH$254),$B$185=1),$AH$254,HLOOKUP(INDIRECT(ADDRESS(2,COLUMN())),OFFSET($BN$2,0,0,ROW()-1,60),ROW()-1,FALSE))</f>
        <v>24400</v>
      </c>
      <c r="AI53">
        <f ca="1">IF(AND(ISNUMBER($AI$254),$B$185=1),$AI$254,HLOOKUP(INDIRECT(ADDRESS(2,COLUMN())),OFFSET($BN$2,0,0,ROW()-1,60),ROW()-1,FALSE))</f>
        <v>26900</v>
      </c>
      <c r="AJ53">
        <f ca="1">IF(AND(ISNUMBER($AJ$254),$B$185=1),$AJ$254,HLOOKUP(INDIRECT(ADDRESS(2,COLUMN())),OFFSET($BN$2,0,0,ROW()-1,60),ROW()-1,FALSE))</f>
        <v>23900</v>
      </c>
      <c r="AK53">
        <f ca="1">IF(AND(ISNUMBER($AK$254),$B$185=1),$AK$254,HLOOKUP(INDIRECT(ADDRESS(2,COLUMN())),OFFSET($BN$2,0,0,ROW()-1,60),ROW()-1,FALSE))</f>
        <v>22400</v>
      </c>
      <c r="AL53">
        <f ca="1">IF(AND(ISNUMBER($AL$254),$B$185=1),$AL$254,HLOOKUP(INDIRECT(ADDRESS(2,COLUMN())),OFFSET($BN$2,0,0,ROW()-1,60),ROW()-1,FALSE))</f>
        <v>29100</v>
      </c>
      <c r="AM53">
        <f ca="1">IF(AND(ISNUMBER($AM$254),$B$185=1),$AM$254,HLOOKUP(INDIRECT(ADDRESS(2,COLUMN())),OFFSET($BN$2,0,0,ROW()-1,60),ROW()-1,FALSE))</f>
        <v>27100</v>
      </c>
      <c r="AN53">
        <f ca="1">IF(AND(ISNUMBER($AN$254),$B$185=1),$AN$254,HLOOKUP(INDIRECT(ADDRESS(2,COLUMN())),OFFSET($BN$2,0,0,ROW()-1,60),ROW()-1,FALSE))</f>
        <v>25000</v>
      </c>
      <c r="AO53">
        <f ca="1">IF(AND(ISNUMBER($AO$254),$B$185=1),$AO$254,HLOOKUP(INDIRECT(ADDRESS(2,COLUMN())),OFFSET($BN$2,0,0,ROW()-1,60),ROW()-1,FALSE))</f>
        <v>22400</v>
      </c>
      <c r="AP53">
        <f ca="1">IF(AND(ISNUMBER($AP$254),$B$185=1),$AP$254,HLOOKUP(INDIRECT(ADDRESS(2,COLUMN())),OFFSET($BN$2,0,0,ROW()-1,60),ROW()-1,FALSE))</f>
        <v>22500</v>
      </c>
      <c r="AQ53">
        <f ca="1">IF(AND(ISNUMBER($AQ$254),$B$185=1),$AQ$254,HLOOKUP(INDIRECT(ADDRESS(2,COLUMN())),OFFSET($BN$2,0,0,ROW()-1,60),ROW()-1,FALSE))</f>
        <v>29900</v>
      </c>
      <c r="AR53">
        <f ca="1">IF(AND(ISNUMBER($AR$254),$B$185=1),$AR$254,HLOOKUP(INDIRECT(ADDRESS(2,COLUMN())),OFFSET($BN$2,0,0,ROW()-1,60),ROW()-1,FALSE))</f>
        <v>29300</v>
      </c>
      <c r="AS53">
        <f ca="1">IF(AND(ISNUMBER($AS$254),$B$185=1),$AS$254,HLOOKUP(INDIRECT(ADDRESS(2,COLUMN())),OFFSET($BN$2,0,0,ROW()-1,60),ROW()-1,FALSE))</f>
        <v>24700</v>
      </c>
      <c r="AT53">
        <f ca="1">IF(AND(ISNUMBER($AT$254),$B$185=1),$AT$254,HLOOKUP(INDIRECT(ADDRESS(2,COLUMN())),OFFSET($BN$2,0,0,ROW()-1,60),ROW()-1,FALSE))</f>
        <v>23000</v>
      </c>
      <c r="AU53">
        <f ca="1">IF(AND(ISNUMBER($AU$254),$B$185=1),$AU$254,HLOOKUP(INDIRECT(ADDRESS(2,COLUMN())),OFFSET($BN$2,0,0,ROW()-1,60),ROW()-1,FALSE))</f>
        <v>21200</v>
      </c>
      <c r="AV53">
        <f ca="1">IF(AND(ISNUMBER($AV$254),$B$185=1),$AV$254,HLOOKUP(INDIRECT(ADDRESS(2,COLUMN())),OFFSET($BN$2,0,0,ROW()-1,60),ROW()-1,FALSE))</f>
        <v>16800</v>
      </c>
      <c r="AW53">
        <f ca="1">IF(AND(ISNUMBER($AW$254),$B$185=1),$AW$254,HLOOKUP(INDIRECT(ADDRESS(2,COLUMN())),OFFSET($BN$2,0,0,ROW()-1,60),ROW()-1,FALSE))</f>
        <v>17000</v>
      </c>
      <c r="AX53">
        <f ca="1">IF(AND(ISNUMBER($AX$254),$B$185=1),$AX$254,HLOOKUP(INDIRECT(ADDRESS(2,COLUMN())),OFFSET($BN$2,0,0,ROW()-1,60),ROW()-1,FALSE))</f>
        <v>23300</v>
      </c>
      <c r="AY53">
        <f ca="1">IF(AND(ISNUMBER($AY$254),$B$185=1),$AY$254,HLOOKUP(INDIRECT(ADDRESS(2,COLUMN())),OFFSET($BN$2,0,0,ROW()-1,60),ROW()-1,FALSE))</f>
        <v>40500</v>
      </c>
      <c r="AZ53">
        <f ca="1">IF(AND(ISNUMBER($AZ$254),$B$185=1),$AZ$254,HLOOKUP(INDIRECT(ADDRESS(2,COLUMN())),OFFSET($BN$2,0,0,ROW()-1,60),ROW()-1,FALSE))</f>
        <v>49000</v>
      </c>
      <c r="BA53">
        <f ca="1">IF(AND(ISNUMBER($BA$254),$B$185=1),$BA$254,HLOOKUP(INDIRECT(ADDRESS(2,COLUMN())),OFFSET($BN$2,0,0,ROW()-1,60),ROW()-1,FALSE))</f>
        <v>52700</v>
      </c>
      <c r="BB53">
        <f ca="1">IF(AND(ISNUMBER($BB$254),$B$185=1),$BB$254,HLOOKUP(INDIRECT(ADDRESS(2,COLUMN())),OFFSET($BN$2,0,0,ROW()-1,60),ROW()-1,FALSE))</f>
        <v>51200</v>
      </c>
      <c r="BC53">
        <f ca="1">IF(AND(ISNUMBER($BC$254),$B$185=1),$BC$254,HLOOKUP(INDIRECT(ADDRESS(2,COLUMN())),OFFSET($BN$2,0,0,ROW()-1,60),ROW()-1,FALSE))</f>
        <v>47300</v>
      </c>
      <c r="BD53">
        <f ca="1">IF(AND(ISNUMBER($BD$254),$B$185=1),$BD$254,HLOOKUP(INDIRECT(ADDRESS(2,COLUMN())),OFFSET($BN$2,0,0,ROW()-1,60),ROW()-1,FALSE))</f>
        <v>43900</v>
      </c>
      <c r="BE53">
        <f ca="1">IF(AND(ISNUMBER($BE$254),$B$185=1),$BE$254,HLOOKUP(INDIRECT(ADDRESS(2,COLUMN())),OFFSET($BN$2,0,0,ROW()-1,60),ROW()-1,FALSE))</f>
        <v>38400</v>
      </c>
      <c r="BF53">
        <f ca="1">IF(AND(ISNUMBER($BF$254),$B$185=1),$BF$254,HLOOKUP(INDIRECT(ADDRESS(2,COLUMN())),OFFSET($BN$2,0,0,ROW()-1,60),ROW()-1,FALSE))</f>
        <v>38600</v>
      </c>
      <c r="BG53">
        <f ca="1">IF(AND(ISNUMBER($BG$254),$B$185=1),$BG$254,HLOOKUP(INDIRECT(ADDRESS(2,COLUMN())),OFFSET($BN$2,0,0,ROW()-1,60),ROW()-1,FALSE))</f>
        <v>36800</v>
      </c>
      <c r="BH53">
        <f ca="1">IF(AND(ISNUMBER($BH$254),$B$185=1),$BH$254,HLOOKUP(INDIRECT(ADDRESS(2,COLUMN())),OFFSET($BN$2,0,0,ROW()-1,60),ROW()-1,FALSE))</f>
        <v>34000</v>
      </c>
      <c r="BI53">
        <f ca="1">IF(AND(ISNUMBER($BI$254),$B$185=1),$BI$254,HLOOKUP(INDIRECT(ADDRESS(2,COLUMN())),OFFSET($BN$2,0,0,ROW()-1,60),ROW()-1,FALSE))</f>
        <v>36200</v>
      </c>
      <c r="BJ53">
        <f ca="1">IF(AND(ISNUMBER($BJ$254),$B$185=1),$BJ$254,HLOOKUP(INDIRECT(ADDRESS(2,COLUMN())),OFFSET($BN$2,0,0,ROW()-1,60),ROW()-1,FALSE))</f>
        <v>50800</v>
      </c>
      <c r="BK53">
        <f ca="1">IF(AND(ISNUMBER($BK$254),$B$185=1),$BK$254,HLOOKUP(INDIRECT(ADDRESS(2,COLUMN())),OFFSET($BN$2,0,0,ROW()-1,60),ROW()-1,FALSE))</f>
        <v>40900</v>
      </c>
      <c r="BL53">
        <f ca="1">IF(AND(ISNUMBER($BL$254),$B$185=1),$BL$254,HLOOKUP(INDIRECT(ADDRESS(2,COLUMN())),OFFSET($BN$2,0,0,ROW()-1,60),ROW()-1,FALSE))</f>
        <v>32200</v>
      </c>
      <c r="BM53" t="str">
        <f ca="1">IF(AND(ISNUMBER($BM$254),$B$185=1),$BM$254,HLOOKUP(INDIRECT(ADDRESS(2,COLUMN())),OFFSET($BN$2,0,0,ROW()-1,60),ROW()-1,FALSE))</f>
        <v/>
      </c>
      <c r="BN53">
        <f>12100</f>
        <v>12100</v>
      </c>
      <c r="BO53">
        <f>11400</f>
        <v>11400</v>
      </c>
      <c r="BP53">
        <f>10700</f>
        <v>10700</v>
      </c>
      <c r="BQ53">
        <f>6600</f>
        <v>6600</v>
      </c>
      <c r="BR53">
        <f>7200</f>
        <v>7200</v>
      </c>
      <c r="BS53">
        <f>11000</f>
        <v>11000</v>
      </c>
      <c r="BT53">
        <f>11200</f>
        <v>11200</v>
      </c>
      <c r="BU53">
        <f>5700</f>
        <v>5700</v>
      </c>
      <c r="BV53">
        <f>6700</f>
        <v>6700</v>
      </c>
      <c r="BW53">
        <f>12100</f>
        <v>12100</v>
      </c>
      <c r="BX53">
        <f>21900</f>
        <v>21900</v>
      </c>
      <c r="BY53">
        <f>24700</f>
        <v>24700</v>
      </c>
      <c r="BZ53">
        <f>42200</f>
        <v>42200</v>
      </c>
      <c r="CA53">
        <f>41600</f>
        <v>41600</v>
      </c>
      <c r="CB53">
        <f>39600</f>
        <v>39600</v>
      </c>
      <c r="CC53">
        <f>39300</f>
        <v>39300</v>
      </c>
      <c r="CD53">
        <f>32500</f>
        <v>32500</v>
      </c>
      <c r="CE53">
        <f>29000</f>
        <v>29000</v>
      </c>
      <c r="CF53">
        <f>24200</f>
        <v>24200</v>
      </c>
      <c r="CG53">
        <f>28100</f>
        <v>28100</v>
      </c>
      <c r="CH53">
        <f>33300</f>
        <v>33300</v>
      </c>
      <c r="CI53">
        <f>32400</f>
        <v>32400</v>
      </c>
      <c r="CJ53">
        <f>24500</f>
        <v>24500</v>
      </c>
      <c r="CK53">
        <f>15000</f>
        <v>15000</v>
      </c>
      <c r="CL53">
        <f>17200</f>
        <v>17200</v>
      </c>
      <c r="CM53">
        <f>22500</f>
        <v>22500</v>
      </c>
      <c r="CN53">
        <f>21500</f>
        <v>21500</v>
      </c>
      <c r="CO53">
        <f>18200</f>
        <v>18200</v>
      </c>
      <c r="CP53">
        <f>24400</f>
        <v>24400</v>
      </c>
      <c r="CQ53">
        <f>26900</f>
        <v>26900</v>
      </c>
      <c r="CR53">
        <f>23900</f>
        <v>23900</v>
      </c>
      <c r="CS53">
        <f>22400</f>
        <v>22400</v>
      </c>
      <c r="CT53">
        <f>29100</f>
        <v>29100</v>
      </c>
      <c r="CU53">
        <f>27100</f>
        <v>27100</v>
      </c>
      <c r="CV53">
        <f>25000</f>
        <v>25000</v>
      </c>
      <c r="CW53">
        <f>22400</f>
        <v>22400</v>
      </c>
      <c r="CX53">
        <f>22500</f>
        <v>22500</v>
      </c>
      <c r="CY53">
        <f>29900</f>
        <v>29900</v>
      </c>
      <c r="CZ53">
        <f>29300</f>
        <v>29300</v>
      </c>
      <c r="DA53">
        <f>24700</f>
        <v>24700</v>
      </c>
      <c r="DB53">
        <f>23000</f>
        <v>23000</v>
      </c>
      <c r="DC53">
        <f>21200</f>
        <v>21200</v>
      </c>
      <c r="DD53">
        <f>16800</f>
        <v>16800</v>
      </c>
      <c r="DE53">
        <f>17000</f>
        <v>17000</v>
      </c>
      <c r="DF53">
        <f>23300</f>
        <v>23300</v>
      </c>
      <c r="DG53">
        <f>40500</f>
        <v>40500</v>
      </c>
      <c r="DH53">
        <f>49000</f>
        <v>49000</v>
      </c>
      <c r="DI53">
        <f>52700</f>
        <v>52700</v>
      </c>
      <c r="DJ53">
        <f>51200</f>
        <v>51200</v>
      </c>
      <c r="DK53">
        <f>47300</f>
        <v>47300</v>
      </c>
      <c r="DL53">
        <f>43900</f>
        <v>43900</v>
      </c>
      <c r="DM53">
        <f>38400</f>
        <v>38400</v>
      </c>
      <c r="DN53">
        <f>38600</f>
        <v>38600</v>
      </c>
      <c r="DO53">
        <f>36800</f>
        <v>36800</v>
      </c>
      <c r="DP53">
        <f>34000</f>
        <v>34000</v>
      </c>
      <c r="DQ53">
        <f>36200</f>
        <v>36200</v>
      </c>
      <c r="DR53">
        <f>50800</f>
        <v>50800</v>
      </c>
      <c r="DS53">
        <f>40900</f>
        <v>40900</v>
      </c>
      <c r="DT53">
        <f>32200</f>
        <v>32200</v>
      </c>
      <c r="DU53" t="str">
        <f>""</f>
        <v/>
      </c>
    </row>
    <row r="54" spans="1:125">
      <c r="A54" t="str">
        <f>"    PNC Financial Services Group I"</f>
        <v xml:space="preserve">    PNC Financial Services Group I</v>
      </c>
      <c r="B54" t="str">
        <f>"PNC US Equity"</f>
        <v>PNC US Equity</v>
      </c>
      <c r="C54" t="str">
        <f t="shared" si="4"/>
        <v>IS688</v>
      </c>
      <c r="D54" t="str">
        <f t="shared" si="5"/>
        <v>IS_RESIDENTIAL_MTG_ORIGINATIONS</v>
      </c>
      <c r="E54" t="str">
        <f t="shared" si="6"/>
        <v>Dynamic</v>
      </c>
      <c r="F54" t="str">
        <f ca="1">IF(AND(ISNUMBER($F$255),$B$185=1),$F$255,HLOOKUP(INDIRECT(ADDRESS(2,COLUMN())),OFFSET($BN$2,0,0,ROW()-1,60),ROW()-1,FALSE))</f>
        <v/>
      </c>
      <c r="G54">
        <f ca="1">IF(AND(ISNUMBER($G$255),$B$185=1),$G$255,HLOOKUP(INDIRECT(ADDRESS(2,COLUMN())),OFFSET($BN$2,0,0,ROW()-1,60),ROW()-1,FALSE))</f>
        <v>3100</v>
      </c>
      <c r="H54">
        <f ca="1">IF(AND(ISNUMBER($H$255),$B$185=1),$H$255,HLOOKUP(INDIRECT(ADDRESS(2,COLUMN())),OFFSET($BN$2,0,0,ROW()-1,60),ROW()-1,FALSE))</f>
        <v>1700</v>
      </c>
      <c r="I54">
        <f ca="1">IF(AND(ISNUMBER($I$255),$B$185=1),$I$255,HLOOKUP(INDIRECT(ADDRESS(2,COLUMN())),OFFSET($BN$2,0,0,ROW()-1,60),ROW()-1,FALSE))</f>
        <v>1300</v>
      </c>
      <c r="J54">
        <f ca="1">IF(AND(ISNUMBER($J$255),$B$185=1),$J$255,HLOOKUP(INDIRECT(ADDRESS(2,COLUMN())),OFFSET($BN$2,0,0,ROW()-1,60),ROW()-1,FALSE))</f>
        <v>1500</v>
      </c>
      <c r="K54">
        <f ca="1">IF(AND(ISNUMBER($K$255),$B$185=1),$K$255,HLOOKUP(INDIRECT(ADDRESS(2,COLUMN())),OFFSET($BN$2,0,0,ROW()-1,60),ROW()-1,FALSE))</f>
        <v>2100</v>
      </c>
      <c r="L54">
        <f ca="1">IF(AND(ISNUMBER($L$255),$B$185=1),$L$255,HLOOKUP(INDIRECT(ADDRESS(2,COLUMN())),OFFSET($BN$2,0,0,ROW()-1,60),ROW()-1,FALSE))</f>
        <v>2400</v>
      </c>
      <c r="M54">
        <f ca="1">IF(AND(ISNUMBER($M$255),$B$185=1),$M$255,HLOOKUP(INDIRECT(ADDRESS(2,COLUMN())),OFFSET($BN$2,0,0,ROW()-1,60),ROW()-1,FALSE))</f>
        <v>1400</v>
      </c>
      <c r="N54">
        <f ca="1">IF(AND(ISNUMBER($N$255),$B$185=1),$N$255,HLOOKUP(INDIRECT(ADDRESS(2,COLUMN())),OFFSET($BN$2,0,0,ROW()-1,60),ROW()-1,FALSE))</f>
        <v>2100</v>
      </c>
      <c r="O54">
        <f ca="1">IF(AND(ISNUMBER($O$255),$B$185=1),$O$255,HLOOKUP(INDIRECT(ADDRESS(2,COLUMN())),OFFSET($BN$2,0,0,ROW()-1,60),ROW()-1,FALSE))</f>
        <v>3100</v>
      </c>
      <c r="P54">
        <f ca="1">IF(AND(ISNUMBER($P$255),$B$185=1),$P$255,HLOOKUP(INDIRECT(ADDRESS(2,COLUMN())),OFFSET($BN$2,0,0,ROW()-1,60),ROW()-1,FALSE))</f>
        <v>4800</v>
      </c>
      <c r="Q54">
        <f ca="1">IF(AND(ISNUMBER($Q$255),$B$185=1),$Q$255,HLOOKUP(INDIRECT(ADDRESS(2,COLUMN())),OFFSET($BN$2,0,0,ROW()-1,60),ROW()-1,FALSE))</f>
        <v>5100</v>
      </c>
      <c r="R54">
        <f ca="1">IF(AND(ISNUMBER($R$255),$B$185=1),$R$255,HLOOKUP(INDIRECT(ADDRESS(2,COLUMN())),OFFSET($BN$2,0,0,ROW()-1,60),ROW()-1,FALSE))</f>
        <v>6600</v>
      </c>
      <c r="S54">
        <f ca="1">IF(AND(ISNUMBER($S$255),$B$185=1),$S$255,HLOOKUP(INDIRECT(ADDRESS(2,COLUMN())),OFFSET($BN$2,0,0,ROW()-1,60),ROW()-1,FALSE))</f>
        <v>7400</v>
      </c>
      <c r="T54">
        <f ca="1">IF(AND(ISNUMBER($T$255),$B$185=1),$T$255,HLOOKUP(INDIRECT(ADDRESS(2,COLUMN())),OFFSET($BN$2,0,0,ROW()-1,60),ROW()-1,FALSE))</f>
        <v>6500</v>
      </c>
      <c r="U54">
        <f ca="1">IF(AND(ISNUMBER($U$255),$B$185=1),$U$255,HLOOKUP(INDIRECT(ADDRESS(2,COLUMN())),OFFSET($BN$2,0,0,ROW()-1,60),ROW()-1,FALSE))</f>
        <v>4300</v>
      </c>
      <c r="V54">
        <f ca="1">IF(AND(ISNUMBER($V$255),$B$185=1),$V$255,HLOOKUP(INDIRECT(ADDRESS(2,COLUMN())),OFFSET($BN$2,0,0,ROW()-1,60),ROW()-1,FALSE))</f>
        <v>3700</v>
      </c>
      <c r="W54">
        <f ca="1">IF(AND(ISNUMBER($W$255),$B$185=1),$W$255,HLOOKUP(INDIRECT(ADDRESS(2,COLUMN())),OFFSET($BN$2,0,0,ROW()-1,60),ROW()-1,FALSE))</f>
        <v>4000</v>
      </c>
      <c r="X54">
        <f ca="1">IF(AND(ISNUMBER($X$255),$B$185=1),$X$255,HLOOKUP(INDIRECT(ADDRESS(2,COLUMN())),OFFSET($BN$2,0,0,ROW()-1,60),ROW()-1,FALSE))</f>
        <v>4200</v>
      </c>
      <c r="Y54">
        <f ca="1">IF(AND(ISNUMBER($Y$255),$B$185=1),$Y$255,HLOOKUP(INDIRECT(ADDRESS(2,COLUMN())),OFFSET($BN$2,0,0,ROW()-1,60),ROW()-1,FALSE))</f>
        <v>3200</v>
      </c>
      <c r="Z54">
        <f ca="1">IF(AND(ISNUMBER($Z$255),$B$185=1),$Z$255,HLOOKUP(INDIRECT(ADDRESS(2,COLUMN())),OFFSET($BN$2,0,0,ROW()-1,60),ROW()-1,FALSE))</f>
        <v>3500</v>
      </c>
      <c r="AA54">
        <f ca="1">IF(AND(ISNUMBER($AA$255),$B$185=1),$AA$255,HLOOKUP(INDIRECT(ADDRESS(2,COLUMN())),OFFSET($BN$2,0,0,ROW()-1,60),ROW()-1,FALSE))</f>
        <v>3400</v>
      </c>
      <c r="AB54">
        <f ca="1">IF(AND(ISNUMBER($AB$255),$B$185=1),$AB$255,HLOOKUP(INDIRECT(ADDRESS(2,COLUMN())),OFFSET($BN$2,0,0,ROW()-1,60),ROW()-1,FALSE))</f>
        <v>2900</v>
      </c>
      <c r="AC54">
        <f ca="1">IF(AND(ISNUMBER($AC$255),$B$185=1),$AC$255,HLOOKUP(INDIRECT(ADDRESS(2,COLUMN())),OFFSET($BN$2,0,0,ROW()-1,60),ROW()-1,FALSE))</f>
        <v>1700</v>
      </c>
      <c r="AD54">
        <f ca="1">IF(AND(ISNUMBER($AD$255),$B$185=1),$AD$255,HLOOKUP(INDIRECT(ADDRESS(2,COLUMN())),OFFSET($BN$2,0,0,ROW()-1,60),ROW()-1,FALSE))</f>
        <v>1600</v>
      </c>
      <c r="AE54">
        <f ca="1">IF(AND(ISNUMBER($AE$255),$B$185=1),$AE$255,HLOOKUP(INDIRECT(ADDRESS(2,COLUMN())),OFFSET($BN$2,0,0,ROW()-1,60),ROW()-1,FALSE))</f>
        <v>2100</v>
      </c>
      <c r="AF54">
        <f ca="1">IF(AND(ISNUMBER($AF$255),$B$185=1),$AF$255,HLOOKUP(INDIRECT(ADDRESS(2,COLUMN())),OFFSET($BN$2,0,0,ROW()-1,60),ROW()-1,FALSE))</f>
        <v>2000</v>
      </c>
      <c r="AG54">
        <f ca="1">IF(AND(ISNUMBER($AG$255),$B$185=1),$AG$255,HLOOKUP(INDIRECT(ADDRESS(2,COLUMN())),OFFSET($BN$2,0,0,ROW()-1,60),ROW()-1,FALSE))</f>
        <v>1700</v>
      </c>
      <c r="AH54">
        <f ca="1">IF(AND(ISNUMBER($AH$255),$B$185=1),$AH$255,HLOOKUP(INDIRECT(ADDRESS(2,COLUMN())),OFFSET($BN$2,0,0,ROW()-1,60),ROW()-1,FALSE))</f>
        <v>2400</v>
      </c>
      <c r="AI54">
        <f ca="1">IF(AND(ISNUMBER($AI$255),$B$185=1),$AI$255,HLOOKUP(INDIRECT(ADDRESS(2,COLUMN())),OFFSET($BN$2,0,0,ROW()-1,60),ROW()-1,FALSE))</f>
        <v>2500</v>
      </c>
      <c r="AJ54">
        <f ca="1">IF(AND(ISNUMBER($AJ$255),$B$185=1),$AJ$255,HLOOKUP(INDIRECT(ADDRESS(2,COLUMN())),OFFSET($BN$2,0,0,ROW()-1,60),ROW()-1,FALSE))</f>
        <v>2200</v>
      </c>
      <c r="AK54">
        <f ca="1">IF(AND(ISNUMBER($AK$255),$B$185=1),$AK$255,HLOOKUP(INDIRECT(ADDRESS(2,COLUMN())),OFFSET($BN$2,0,0,ROW()-1,60),ROW()-1,FALSE))</f>
        <v>1900</v>
      </c>
      <c r="AL54" t="str">
        <f ca="1">IF(AND(ISNUMBER($AL$255),$B$185=1),$AL$255,HLOOKUP(INDIRECT(ADDRESS(2,COLUMN())),OFFSET($BN$2,0,0,ROW()-1,60),ROW()-1,FALSE))</f>
        <v/>
      </c>
      <c r="AM54">
        <f ca="1">IF(AND(ISNUMBER($AM$255),$B$185=1),$AM$255,HLOOKUP(INDIRECT(ADDRESS(2,COLUMN())),OFFSET($BN$2,0,0,ROW()-1,60),ROW()-1,FALSE))</f>
        <v>3100</v>
      </c>
      <c r="AN54">
        <f ca="1">IF(AND(ISNUMBER($AN$255),$B$185=1),$AN$255,HLOOKUP(INDIRECT(ADDRESS(2,COLUMN())),OFFSET($BN$2,0,0,ROW()-1,60),ROW()-1,FALSE))</f>
        <v>2600</v>
      </c>
      <c r="AO54">
        <f ca="1">IF(AND(ISNUMBER($AO$255),$B$185=1),$AO$255,HLOOKUP(INDIRECT(ADDRESS(2,COLUMN())),OFFSET($BN$2,0,0,ROW()-1,60),ROW()-1,FALSE))</f>
        <v>1900</v>
      </c>
      <c r="AP54">
        <f ca="1">IF(AND(ISNUMBER($AP$255),$B$185=1),$AP$255,HLOOKUP(INDIRECT(ADDRESS(2,COLUMN())),OFFSET($BN$2,0,0,ROW()-1,60),ROW()-1,FALSE))</f>
        <v>2300</v>
      </c>
      <c r="AQ54">
        <f ca="1">IF(AND(ISNUMBER($AQ$255),$B$185=1),$AQ$255,HLOOKUP(INDIRECT(ADDRESS(2,COLUMN())),OFFSET($BN$2,0,0,ROW()-1,60),ROW()-1,FALSE))</f>
        <v>2700</v>
      </c>
      <c r="AR54">
        <f ca="1">IF(AND(ISNUMBER($AR$255),$B$185=1),$AR$255,HLOOKUP(INDIRECT(ADDRESS(2,COLUMN())),OFFSET($BN$2,0,0,ROW()-1,60),ROW()-1,FALSE))</f>
        <v>2900</v>
      </c>
      <c r="AS54">
        <f ca="1">IF(AND(ISNUMBER($AS$255),$B$185=1),$AS$255,HLOOKUP(INDIRECT(ADDRESS(2,COLUMN())),OFFSET($BN$2,0,0,ROW()-1,60),ROW()-1,FALSE))</f>
        <v>2600</v>
      </c>
      <c r="AT54">
        <f ca="1">IF(AND(ISNUMBER($AT$255),$B$185=1),$AT$255,HLOOKUP(INDIRECT(ADDRESS(2,COLUMN())),OFFSET($BN$2,0,0,ROW()-1,60),ROW()-1,FALSE))</f>
        <v>2400</v>
      </c>
      <c r="AU54">
        <f ca="1">IF(AND(ISNUMBER($AU$255),$B$185=1),$AU$255,HLOOKUP(INDIRECT(ADDRESS(2,COLUMN())),OFFSET($BN$2,0,0,ROW()-1,60),ROW()-1,FALSE))</f>
        <v>2600</v>
      </c>
      <c r="AV54">
        <f ca="1">IF(AND(ISNUMBER($AV$255),$B$185=1),$AV$255,HLOOKUP(INDIRECT(ADDRESS(2,COLUMN())),OFFSET($BN$2,0,0,ROW()-1,60),ROW()-1,FALSE))</f>
        <v>2600</v>
      </c>
      <c r="AW54">
        <f ca="1">IF(AND(ISNUMBER($AW$255),$B$185=1),$AW$255,HLOOKUP(INDIRECT(ADDRESS(2,COLUMN())),OFFSET($BN$2,0,0,ROW()-1,60),ROW()-1,FALSE))</f>
        <v>1900</v>
      </c>
      <c r="AX54">
        <f ca="1">IF(AND(ISNUMBER($AX$255),$B$185=1),$AX$255,HLOOKUP(INDIRECT(ADDRESS(2,COLUMN())),OFFSET($BN$2,0,0,ROW()-1,60),ROW()-1,FALSE))</f>
        <v>2500</v>
      </c>
      <c r="AY54">
        <f ca="1">IF(AND(ISNUMBER($AY$255),$B$185=1),$AY$255,HLOOKUP(INDIRECT(ADDRESS(2,COLUMN())),OFFSET($BN$2,0,0,ROW()-1,60),ROW()-1,FALSE))</f>
        <v>3700</v>
      </c>
      <c r="AZ54">
        <f ca="1">IF(AND(ISNUMBER($AZ$255),$B$185=1),$AZ$255,HLOOKUP(INDIRECT(ADDRESS(2,COLUMN())),OFFSET($BN$2,0,0,ROW()-1,60),ROW()-1,FALSE))</f>
        <v>4700</v>
      </c>
      <c r="BA54">
        <f ca="1">IF(AND(ISNUMBER($BA$255),$B$185=1),$BA$255,HLOOKUP(INDIRECT(ADDRESS(2,COLUMN())),OFFSET($BN$2,0,0,ROW()-1,60),ROW()-1,FALSE))</f>
        <v>4200</v>
      </c>
      <c r="BB54">
        <f ca="1">IF(AND(ISNUMBER($BB$255),$B$185=1),$BB$255,HLOOKUP(INDIRECT(ADDRESS(2,COLUMN())),OFFSET($BN$2,0,0,ROW()-1,60),ROW()-1,FALSE))</f>
        <v>4400</v>
      </c>
      <c r="BC54">
        <f ca="1">IF(AND(ISNUMBER($BC$255),$B$185=1),$BC$255,HLOOKUP(INDIRECT(ADDRESS(2,COLUMN())),OFFSET($BN$2,0,0,ROW()-1,60),ROW()-1,FALSE))</f>
        <v>3800</v>
      </c>
      <c r="BD54">
        <f ca="1">IF(AND(ISNUMBER($BD$255),$B$185=1),$BD$255,HLOOKUP(INDIRECT(ADDRESS(2,COLUMN())),OFFSET($BN$2,0,0,ROW()-1,60),ROW()-1,FALSE))</f>
        <v>3600</v>
      </c>
      <c r="BE54">
        <f ca="1">IF(AND(ISNUMBER($BE$255),$B$185=1),$BE$255,HLOOKUP(INDIRECT(ADDRESS(2,COLUMN())),OFFSET($BN$2,0,0,ROW()-1,60),ROW()-1,FALSE))</f>
        <v>3400</v>
      </c>
      <c r="BF54">
        <f ca="1">IF(AND(ISNUMBER($BF$255),$B$185=1),$BF$255,HLOOKUP(INDIRECT(ADDRESS(2,COLUMN())),OFFSET($BN$2,0,0,ROW()-1,60),ROW()-1,FALSE))</f>
        <v>3000</v>
      </c>
      <c r="BG54">
        <f ca="1">IF(AND(ISNUMBER($BG$255),$B$185=1),$BG$255,HLOOKUP(INDIRECT(ADDRESS(2,COLUMN())),OFFSET($BN$2,0,0,ROW()-1,60),ROW()-1,FALSE))</f>
        <v>2600</v>
      </c>
      <c r="BH54">
        <f ca="1">IF(AND(ISNUMBER($BH$255),$B$185=1),$BH$255,HLOOKUP(INDIRECT(ADDRESS(2,COLUMN())),OFFSET($BN$2,0,0,ROW()-1,60),ROW()-1,FALSE))</f>
        <v>2600</v>
      </c>
      <c r="BI54">
        <f ca="1">IF(AND(ISNUMBER($BI$255),$B$185=1),$BI$255,HLOOKUP(INDIRECT(ADDRESS(2,COLUMN())),OFFSET($BN$2,0,0,ROW()-1,60),ROW()-1,FALSE))</f>
        <v>3200</v>
      </c>
      <c r="BJ54">
        <f ca="1">IF(AND(ISNUMBER($BJ$255),$B$185=1),$BJ$255,HLOOKUP(INDIRECT(ADDRESS(2,COLUMN())),OFFSET($BN$2,0,0,ROW()-1,60),ROW()-1,FALSE))</f>
        <v>3500</v>
      </c>
      <c r="BK54">
        <f ca="1">IF(AND(ISNUMBER($BK$255),$B$185=1),$BK$255,HLOOKUP(INDIRECT(ADDRESS(2,COLUMN())),OFFSET($BN$2,0,0,ROW()-1,60),ROW()-1,FALSE))</f>
        <v>2700</v>
      </c>
      <c r="BL54">
        <f ca="1">IF(AND(ISNUMBER($BL$255),$B$185=1),$BL$255,HLOOKUP(INDIRECT(ADDRESS(2,COLUMN())),OFFSET($BN$2,0,0,ROW()-1,60),ROW()-1,FALSE))</f>
        <v>2300</v>
      </c>
      <c r="BM54">
        <f ca="1">IF(AND(ISNUMBER($BM$255),$B$185=1),$BM$255,HLOOKUP(INDIRECT(ADDRESS(2,COLUMN())),OFFSET($BN$2,0,0,ROW()-1,60),ROW()-1,FALSE))</f>
        <v>2000</v>
      </c>
      <c r="BN54" t="str">
        <f>""</f>
        <v/>
      </c>
      <c r="BO54">
        <f>3100</f>
        <v>3100</v>
      </c>
      <c r="BP54">
        <f>1700</f>
        <v>1700</v>
      </c>
      <c r="BQ54">
        <f>1300</f>
        <v>1300</v>
      </c>
      <c r="BR54">
        <f>1500</f>
        <v>1500</v>
      </c>
      <c r="BS54">
        <f>2100</f>
        <v>2100</v>
      </c>
      <c r="BT54">
        <f>2400</f>
        <v>2400</v>
      </c>
      <c r="BU54">
        <f>1400</f>
        <v>1400</v>
      </c>
      <c r="BV54">
        <f>2100</f>
        <v>2100</v>
      </c>
      <c r="BW54">
        <f>3100</f>
        <v>3100</v>
      </c>
      <c r="BX54">
        <f>4800</f>
        <v>4800</v>
      </c>
      <c r="BY54">
        <f>5100</f>
        <v>5100</v>
      </c>
      <c r="BZ54">
        <f>6600</f>
        <v>6600</v>
      </c>
      <c r="CA54">
        <f>7400</f>
        <v>7400</v>
      </c>
      <c r="CB54">
        <f>6500</f>
        <v>6500</v>
      </c>
      <c r="CC54">
        <f>4300</f>
        <v>4300</v>
      </c>
      <c r="CD54">
        <f>3700</f>
        <v>3700</v>
      </c>
      <c r="CE54">
        <f>4000</f>
        <v>4000</v>
      </c>
      <c r="CF54">
        <f>4200</f>
        <v>4200</v>
      </c>
      <c r="CG54">
        <f>3200</f>
        <v>3200</v>
      </c>
      <c r="CH54">
        <f>3500</f>
        <v>3500</v>
      </c>
      <c r="CI54">
        <f>3400</f>
        <v>3400</v>
      </c>
      <c r="CJ54">
        <f>2900</f>
        <v>2900</v>
      </c>
      <c r="CK54">
        <f>1700</f>
        <v>1700</v>
      </c>
      <c r="CL54">
        <f>1600</f>
        <v>1600</v>
      </c>
      <c r="CM54">
        <f>2100</f>
        <v>2100</v>
      </c>
      <c r="CN54">
        <f>2000</f>
        <v>2000</v>
      </c>
      <c r="CO54">
        <f>1700</f>
        <v>1700</v>
      </c>
      <c r="CP54">
        <f>2400</f>
        <v>2400</v>
      </c>
      <c r="CQ54">
        <f>2500</f>
        <v>2500</v>
      </c>
      <c r="CR54">
        <f>2200</f>
        <v>2200</v>
      </c>
      <c r="CS54">
        <f>1900</f>
        <v>1900</v>
      </c>
      <c r="CT54" t="str">
        <f>""</f>
        <v/>
      </c>
      <c r="CU54">
        <f>3100</f>
        <v>3100</v>
      </c>
      <c r="CV54">
        <f>2600</f>
        <v>2600</v>
      </c>
      <c r="CW54">
        <f>1900</f>
        <v>1900</v>
      </c>
      <c r="CX54">
        <f>2300</f>
        <v>2300</v>
      </c>
      <c r="CY54">
        <f>2700</f>
        <v>2700</v>
      </c>
      <c r="CZ54">
        <f>2900</f>
        <v>2900</v>
      </c>
      <c r="DA54">
        <f>2600</f>
        <v>2600</v>
      </c>
      <c r="DB54">
        <f>2400</f>
        <v>2400</v>
      </c>
      <c r="DC54">
        <f>2600</f>
        <v>2600</v>
      </c>
      <c r="DD54">
        <f>2600</f>
        <v>2600</v>
      </c>
      <c r="DE54">
        <f>1900</f>
        <v>1900</v>
      </c>
      <c r="DF54">
        <f>2500</f>
        <v>2500</v>
      </c>
      <c r="DG54">
        <f>3700</f>
        <v>3700</v>
      </c>
      <c r="DH54">
        <f>4700</f>
        <v>4700</v>
      </c>
      <c r="DI54">
        <f>4200</f>
        <v>4200</v>
      </c>
      <c r="DJ54">
        <f>4400</f>
        <v>4400</v>
      </c>
      <c r="DK54">
        <f>3800</f>
        <v>3800</v>
      </c>
      <c r="DL54">
        <f>3600</f>
        <v>3600</v>
      </c>
      <c r="DM54">
        <f>3400</f>
        <v>3400</v>
      </c>
      <c r="DN54">
        <f>3000</f>
        <v>3000</v>
      </c>
      <c r="DO54">
        <f>2600</f>
        <v>2600</v>
      </c>
      <c r="DP54">
        <f>2600</f>
        <v>2600</v>
      </c>
      <c r="DQ54">
        <f>3200</f>
        <v>3200</v>
      </c>
      <c r="DR54">
        <f>3500</f>
        <v>3500</v>
      </c>
      <c r="DS54">
        <f>2700</f>
        <v>2700</v>
      </c>
      <c r="DT54">
        <f>2300</f>
        <v>2300</v>
      </c>
      <c r="DU54">
        <f>2000</f>
        <v>2000</v>
      </c>
    </row>
    <row r="55" spans="1:125">
      <c r="A55" t="str">
        <f>"    Regions Financial Corp"</f>
        <v xml:space="preserve">    Regions Financial Corp</v>
      </c>
      <c r="B55" t="str">
        <f>"RF US Equity"</f>
        <v>RF US Equity</v>
      </c>
      <c r="C55" t="str">
        <f t="shared" si="4"/>
        <v>IS688</v>
      </c>
      <c r="D55" t="str">
        <f t="shared" si="5"/>
        <v>IS_RESIDENTIAL_MTG_ORIGINATIONS</v>
      </c>
      <c r="E55" t="str">
        <f t="shared" si="6"/>
        <v>Dynamic</v>
      </c>
      <c r="F55" t="str">
        <f ca="1">IF(AND(ISNUMBER($F$256),$B$185=1),$F$256,HLOOKUP(INDIRECT(ADDRESS(2,COLUMN())),OFFSET($BN$2,0,0,ROW()-1,60),ROW()-1,FALSE))</f>
        <v/>
      </c>
      <c r="G55">
        <f ca="1">IF(AND(ISNUMBER($G$256),$B$185=1),$G$256,HLOOKUP(INDIRECT(ADDRESS(2,COLUMN())),OFFSET($BN$2,0,0,ROW()-1,60),ROW()-1,FALSE))</f>
        <v>1016</v>
      </c>
      <c r="H55">
        <f ca="1">IF(AND(ISNUMBER($H$256),$B$185=1),$H$256,HLOOKUP(INDIRECT(ADDRESS(2,COLUMN())),OFFSET($BN$2,0,0,ROW()-1,60),ROW()-1,FALSE))</f>
        <v>1042</v>
      </c>
      <c r="I55">
        <f ca="1">IF(AND(ISNUMBER($I$256),$B$185=1),$I$256,HLOOKUP(INDIRECT(ADDRESS(2,COLUMN())),OFFSET($BN$2,0,0,ROW()-1,60),ROW()-1,FALSE))</f>
        <v>753</v>
      </c>
      <c r="J55">
        <f ca="1">IF(AND(ISNUMBER($J$256),$B$185=1),$J$256,HLOOKUP(INDIRECT(ADDRESS(2,COLUMN())),OFFSET($BN$2,0,0,ROW()-1,60),ROW()-1,FALSE))</f>
        <v>824</v>
      </c>
      <c r="K55">
        <f ca="1">IF(AND(ISNUMBER($K$256),$B$185=1),$K$256,HLOOKUP(INDIRECT(ADDRESS(2,COLUMN())),OFFSET($BN$2,0,0,ROW()-1,60),ROW()-1,FALSE))</f>
        <v>1170</v>
      </c>
      <c r="L55">
        <f ca="1">IF(AND(ISNUMBER($L$256),$B$185=1),$L$256,HLOOKUP(INDIRECT(ADDRESS(2,COLUMN())),OFFSET($BN$2,0,0,ROW()-1,60),ROW()-1,FALSE))</f>
        <v>450</v>
      </c>
      <c r="M55">
        <f ca="1">IF(AND(ISNUMBER($M$256),$B$185=1),$M$256,HLOOKUP(INDIRECT(ADDRESS(2,COLUMN())),OFFSET($BN$2,0,0,ROW()-1,60),ROW()-1,FALSE))</f>
        <v>882</v>
      </c>
      <c r="N55">
        <f ca="1">IF(AND(ISNUMBER($N$256),$B$185=1),$N$256,HLOOKUP(INDIRECT(ADDRESS(2,COLUMN())),OFFSET($BN$2,0,0,ROW()-1,60),ROW()-1,FALSE))</f>
        <v>1026</v>
      </c>
      <c r="O55">
        <f ca="1">IF(AND(ISNUMBER($O$256),$B$185=1),$O$256,HLOOKUP(INDIRECT(ADDRESS(2,COLUMN())),OFFSET($BN$2,0,0,ROW()-1,60),ROW()-1,FALSE))</f>
        <v>1523</v>
      </c>
      <c r="P55">
        <f ca="1">IF(AND(ISNUMBER($P$256),$B$185=1),$P$256,HLOOKUP(INDIRECT(ADDRESS(2,COLUMN())),OFFSET($BN$2,0,0,ROW()-1,60),ROW()-1,FALSE))</f>
        <v>1957</v>
      </c>
      <c r="Q55">
        <f ca="1">IF(AND(ISNUMBER($Q$256),$B$185=1),$Q$256,HLOOKUP(INDIRECT(ADDRESS(2,COLUMN())),OFFSET($BN$2,0,0,ROW()-1,60),ROW()-1,FALSE))</f>
        <v>1840</v>
      </c>
      <c r="R55">
        <f ca="1">IF(AND(ISNUMBER($R$256),$B$185=1),$R$256,HLOOKUP(INDIRECT(ADDRESS(2,COLUMN())),OFFSET($BN$2,0,0,ROW()-1,60),ROW()-1,FALSE))</f>
        <v>2406</v>
      </c>
      <c r="S55">
        <f ca="1">IF(AND(ISNUMBER($S$256),$B$185=1),$S$256,HLOOKUP(INDIRECT(ADDRESS(2,COLUMN())),OFFSET($BN$2,0,0,ROW()-1,60),ROW()-1,FALSE))</f>
        <v>2824</v>
      </c>
      <c r="T55">
        <f ca="1">IF(AND(ISNUMBER($T$256),$B$185=1),$T$256,HLOOKUP(INDIRECT(ADDRESS(2,COLUMN())),OFFSET($BN$2,0,0,ROW()-1,60),ROW()-1,FALSE))</f>
        <v>3001</v>
      </c>
      <c r="U55">
        <f ca="1">IF(AND(ISNUMBER($U$256),$B$185=1),$U$256,HLOOKUP(INDIRECT(ADDRESS(2,COLUMN())),OFFSET($BN$2,0,0,ROW()-1,60),ROW()-1,FALSE))</f>
        <v>2776</v>
      </c>
      <c r="V55">
        <f ca="1">IF(AND(ISNUMBER($V$256),$B$185=1),$V$256,HLOOKUP(INDIRECT(ADDRESS(2,COLUMN())),OFFSET($BN$2,0,0,ROW()-1,60),ROW()-1,FALSE))</f>
        <v>1470</v>
      </c>
      <c r="W55">
        <f ca="1">IF(AND(ISNUMBER($W$256),$B$185=1),$W$256,HLOOKUP(INDIRECT(ADDRESS(2,COLUMN())),OFFSET($BN$2,0,0,ROW()-1,60),ROW()-1,FALSE))</f>
        <v>3488</v>
      </c>
      <c r="X55">
        <f ca="1">IF(AND(ISNUMBER($X$256),$B$185=1),$X$256,HLOOKUP(INDIRECT(ADDRESS(2,COLUMN())),OFFSET($BN$2,0,0,ROW()-1,60),ROW()-1,FALSE))</f>
        <v>2483</v>
      </c>
      <c r="Y55">
        <f ca="1">IF(AND(ISNUMBER($Y$256),$B$185=1),$Y$256,HLOOKUP(INDIRECT(ADDRESS(2,COLUMN())),OFFSET($BN$2,0,0,ROW()-1,60),ROW()-1,FALSE))</f>
        <v>1470</v>
      </c>
      <c r="Z55">
        <f ca="1">IF(AND(ISNUMBER($Z$256),$B$185=1),$Z$256,HLOOKUP(INDIRECT(ADDRESS(2,COLUMN())),OFFSET($BN$2,0,0,ROW()-1,60),ROW()-1,FALSE))</f>
        <v>1653</v>
      </c>
      <c r="AA55">
        <f ca="1">IF(AND(ISNUMBER($AA$256),$B$185=1),$AA$256,HLOOKUP(INDIRECT(ADDRESS(2,COLUMN())),OFFSET($BN$2,0,0,ROW()-1,60),ROW()-1,FALSE))</f>
        <v>1717</v>
      </c>
      <c r="AB55">
        <f ca="1">IF(AND(ISNUMBER($AB$256),$B$185=1),$AB$256,HLOOKUP(INDIRECT(ADDRESS(2,COLUMN())),OFFSET($BN$2,0,0,ROW()-1,60),ROW()-1,FALSE))</f>
        <v>1461</v>
      </c>
      <c r="AC55">
        <f ca="1">IF(AND(ISNUMBER($AC$256),$B$185=1),$AC$256,HLOOKUP(INDIRECT(ADDRESS(2,COLUMN())),OFFSET($BN$2,0,0,ROW()-1,60),ROW()-1,FALSE))</f>
        <v>921</v>
      </c>
      <c r="AD55">
        <f ca="1">IF(AND(ISNUMBER($AD$256),$B$185=1),$AD$256,HLOOKUP(INDIRECT(ADDRESS(2,COLUMN())),OFFSET($BN$2,0,0,ROW()-1,60),ROW()-1,FALSE))</f>
        <v>1029</v>
      </c>
      <c r="AE55">
        <f ca="1">IF(AND(ISNUMBER($AE$256),$B$185=1),$AE$256,HLOOKUP(INDIRECT(ADDRESS(2,COLUMN())),OFFSET($BN$2,0,0,ROW()-1,60),ROW()-1,FALSE))</f>
        <v>1249</v>
      </c>
      <c r="AF55">
        <f ca="1">IF(AND(ISNUMBER($AF$256),$B$185=1),$AF$256,HLOOKUP(INDIRECT(ADDRESS(2,COLUMN())),OFFSET($BN$2,0,0,ROW()-1,60),ROW()-1,FALSE))</f>
        <v>1428</v>
      </c>
      <c r="AG55">
        <f ca="1">IF(AND(ISNUMBER($AG$256),$B$185=1),$AG$256,HLOOKUP(INDIRECT(ADDRESS(2,COLUMN())),OFFSET($BN$2,0,0,ROW()-1,60),ROW()-1,FALSE))</f>
        <v>1096</v>
      </c>
      <c r="AH55">
        <f ca="1">IF(AND(ISNUMBER($AH$256),$B$185=1),$AH$256,HLOOKUP(INDIRECT(ADDRESS(2,COLUMN())),OFFSET($BN$2,0,0,ROW()-1,60),ROW()-1,FALSE))</f>
        <v>1266</v>
      </c>
      <c r="AI55">
        <f ca="1">IF(AND(ISNUMBER($AI$256),$B$185=1),$AI$256,HLOOKUP(INDIRECT(ADDRESS(2,COLUMN())),OFFSET($BN$2,0,0,ROW()-1,60),ROW()-1,FALSE))</f>
        <v>1311</v>
      </c>
      <c r="AJ55">
        <f ca="1">IF(AND(ISNUMBER($AJ$256),$B$185=1),$AJ$256,HLOOKUP(INDIRECT(ADDRESS(2,COLUMN())),OFFSET($BN$2,0,0,ROW()-1,60),ROW()-1,FALSE))</f>
        <v>1447</v>
      </c>
      <c r="AK55">
        <f ca="1">IF(AND(ISNUMBER($AK$256),$B$185=1),$AK$256,HLOOKUP(INDIRECT(ADDRESS(2,COLUMN())),OFFSET($BN$2,0,0,ROW()-1,60),ROW()-1,FALSE))</f>
        <v>1154</v>
      </c>
      <c r="AL55">
        <f ca="1">IF(AND(ISNUMBER($AL$256),$B$185=1),$AL$256,HLOOKUP(INDIRECT(ADDRESS(2,COLUMN())),OFFSET($BN$2,0,0,ROW()-1,60),ROW()-1,FALSE))</f>
        <v>1538</v>
      </c>
      <c r="AM55">
        <f ca="1">IF(AND(ISNUMBER($AM$256),$B$185=1),$AM$256,HLOOKUP(INDIRECT(ADDRESS(2,COLUMN())),OFFSET($BN$2,0,0,ROW()-1,60),ROW()-1,FALSE))</f>
        <v>1662</v>
      </c>
      <c r="AN55">
        <f ca="1">IF(AND(ISNUMBER($AN$256),$B$185=1),$AN$256,HLOOKUP(INDIRECT(ADDRESS(2,COLUMN())),OFFSET($BN$2,0,0,ROW()-1,60),ROW()-1,FALSE))</f>
        <v>1656</v>
      </c>
      <c r="AO55">
        <f ca="1">IF(AND(ISNUMBER($AO$256),$B$185=1),$AO$256,HLOOKUP(INDIRECT(ADDRESS(2,COLUMN())),OFFSET($BN$2,0,0,ROW()-1,60),ROW()-1,FALSE))</f>
        <v>1111</v>
      </c>
      <c r="AP55">
        <f ca="1">IF(AND(ISNUMBER($AP$256),$B$185=1),$AP$256,HLOOKUP(INDIRECT(ADDRESS(2,COLUMN())),OFFSET($BN$2,0,0,ROW()-1,60),ROW()-1,FALSE))</f>
        <v>1190</v>
      </c>
      <c r="AQ55">
        <f ca="1">IF(AND(ISNUMBER($AQ$256),$B$185=1),$AQ$256,HLOOKUP(INDIRECT(ADDRESS(2,COLUMN())),OFFSET($BN$2,0,0,ROW()-1,60),ROW()-1,FALSE))</f>
        <v>1421</v>
      </c>
      <c r="AR55">
        <f ca="1">IF(AND(ISNUMBER($AR$256),$B$185=1),$AR$256,HLOOKUP(INDIRECT(ADDRESS(2,COLUMN())),OFFSET($BN$2,0,0,ROW()-1,60),ROW()-1,FALSE))</f>
        <v>1602</v>
      </c>
      <c r="AS55">
        <f ca="1">IF(AND(ISNUMBER($AS$256),$B$185=1),$AS$256,HLOOKUP(INDIRECT(ADDRESS(2,COLUMN())),OFFSET($BN$2,0,0,ROW()-1,60),ROW()-1,FALSE))</f>
        <v>1270</v>
      </c>
      <c r="AT55">
        <f ca="1">IF(AND(ISNUMBER($AT$256),$B$185=1),$AT$256,HLOOKUP(INDIRECT(ADDRESS(2,COLUMN())),OFFSET($BN$2,0,0,ROW()-1,60),ROW()-1,FALSE))</f>
        <v>1168</v>
      </c>
      <c r="AU55">
        <f ca="1">IF(AND(ISNUMBER($AU$256),$B$185=1),$AU$256,HLOOKUP(INDIRECT(ADDRESS(2,COLUMN())),OFFSET($BN$2,0,0,ROW()-1,60),ROW()-1,FALSE))</f>
        <v>1285</v>
      </c>
      <c r="AV55">
        <f ca="1">IF(AND(ISNUMBER($AV$256),$B$185=1),$AV$256,HLOOKUP(INDIRECT(ADDRESS(2,COLUMN())),OFFSET($BN$2,0,0,ROW()-1,60),ROW()-1,FALSE))</f>
        <v>1270</v>
      </c>
      <c r="AW55">
        <f ca="1">IF(AND(ISNUMBER($AW$256),$B$185=1),$AW$256,HLOOKUP(INDIRECT(ADDRESS(2,COLUMN())),OFFSET($BN$2,0,0,ROW()-1,60),ROW()-1,FALSE))</f>
        <v>966</v>
      </c>
      <c r="AX55">
        <f ca="1">IF(AND(ISNUMBER($AX$256),$B$185=1),$AX$256,HLOOKUP(INDIRECT(ADDRESS(2,COLUMN())),OFFSET($BN$2,0,0,ROW()-1,60),ROW()-1,FALSE))</f>
        <v>1238</v>
      </c>
      <c r="AY55">
        <f ca="1">IF(AND(ISNUMBER($AY$256),$B$185=1),$AY$256,HLOOKUP(INDIRECT(ADDRESS(2,COLUMN())),OFFSET($BN$2,0,0,ROW()-1,60),ROW()-1,FALSE))</f>
        <v>1606</v>
      </c>
      <c r="AZ55">
        <f ca="1">IF(AND(ISNUMBER($AZ$256),$B$185=1),$AZ$256,HLOOKUP(INDIRECT(ADDRESS(2,COLUMN())),OFFSET($BN$2,0,0,ROW()-1,60),ROW()-1,FALSE))</f>
        <v>1921</v>
      </c>
      <c r="BA55">
        <f ca="1">IF(AND(ISNUMBER($BA$256),$B$185=1),$BA$256,HLOOKUP(INDIRECT(ADDRESS(2,COLUMN())),OFFSET($BN$2,0,0,ROW()-1,60),ROW()-1,FALSE))</f>
        <v>1819</v>
      </c>
      <c r="BB55">
        <f ca="1">IF(AND(ISNUMBER($BB$256),$B$185=1),$BB$256,HLOOKUP(INDIRECT(ADDRESS(2,COLUMN())),OFFSET($BN$2,0,0,ROW()-1,60),ROW()-1,FALSE))</f>
        <v>2100</v>
      </c>
      <c r="BC55">
        <f ca="1">IF(AND(ISNUMBER($BC$256),$B$185=1),$BC$256,HLOOKUP(INDIRECT(ADDRESS(2,COLUMN())),OFFSET($BN$2,0,0,ROW()-1,60),ROW()-1,FALSE))</f>
        <v>2200</v>
      </c>
      <c r="BD55">
        <f ca="1">IF(AND(ISNUMBER($BD$256),$B$185=1),$BD$256,HLOOKUP(INDIRECT(ADDRESS(2,COLUMN())),OFFSET($BN$2,0,0,ROW()-1,60),ROW()-1,FALSE))</f>
        <v>2100</v>
      </c>
      <c r="BE55">
        <f ca="1">IF(AND(ISNUMBER($BE$256),$B$185=1),$BE$256,HLOOKUP(INDIRECT(ADDRESS(2,COLUMN())),OFFSET($BN$2,0,0,ROW()-1,60),ROW()-1,FALSE))</f>
        <v>1600</v>
      </c>
      <c r="BF55">
        <f ca="1">IF(AND(ISNUMBER($BF$256),$B$185=1),$BF$256,HLOOKUP(INDIRECT(ADDRESS(2,COLUMN())),OFFSET($BN$2,0,0,ROW()-1,60),ROW()-1,FALSE))</f>
        <v>1800</v>
      </c>
      <c r="BG55">
        <f ca="1">IF(AND(ISNUMBER($BG$256),$B$185=1),$BG$256,HLOOKUP(INDIRECT(ADDRESS(2,COLUMN())),OFFSET($BN$2,0,0,ROW()-1,60),ROW()-1,FALSE))</f>
        <v>1500</v>
      </c>
      <c r="BH55">
        <f ca="1">IF(AND(ISNUMBER($BH$256),$B$185=1),$BH$256,HLOOKUP(INDIRECT(ADDRESS(2,COLUMN())),OFFSET($BN$2,0,0,ROW()-1,60),ROW()-1,FALSE))</f>
        <v>1400</v>
      </c>
      <c r="BI55">
        <f ca="1">IF(AND(ISNUMBER($BI$256),$B$185=1),$BI$256,HLOOKUP(INDIRECT(ADDRESS(2,COLUMN())),OFFSET($BN$2,0,0,ROW()-1,60),ROW()-1,FALSE))</f>
        <v>1600</v>
      </c>
      <c r="BJ55">
        <f ca="1">IF(AND(ISNUMBER($BJ$256),$B$185=1),$BJ$256,HLOOKUP(INDIRECT(ADDRESS(2,COLUMN())),OFFSET($BN$2,0,0,ROW()-1,60),ROW()-1,FALSE))</f>
        <v>2600</v>
      </c>
      <c r="BK55">
        <f ca="1">IF(AND(ISNUMBER($BK$256),$B$185=1),$BK$256,HLOOKUP(INDIRECT(ADDRESS(2,COLUMN())),OFFSET($BN$2,0,0,ROW()-1,60),ROW()-1,FALSE))</f>
        <v>2400</v>
      </c>
      <c r="BL55">
        <f ca="1">IF(AND(ISNUMBER($BL$256),$B$185=1),$BL$256,HLOOKUP(INDIRECT(ADDRESS(2,COLUMN())),OFFSET($BN$2,0,0,ROW()-1,60),ROW()-1,FALSE))</f>
        <v>1800</v>
      </c>
      <c r="BM55">
        <f ca="1">IF(AND(ISNUMBER($BM$256),$B$185=1),$BM$256,HLOOKUP(INDIRECT(ADDRESS(2,COLUMN())),OFFSET($BN$2,0,0,ROW()-1,60),ROW()-1,FALSE))</f>
        <v>1400</v>
      </c>
      <c r="BN55" t="str">
        <f>""</f>
        <v/>
      </c>
      <c r="BO55">
        <f>1016</f>
        <v>1016</v>
      </c>
      <c r="BP55">
        <f>1042</f>
        <v>1042</v>
      </c>
      <c r="BQ55">
        <f>753</f>
        <v>753</v>
      </c>
      <c r="BR55">
        <f>824</f>
        <v>824</v>
      </c>
      <c r="BS55">
        <f>1170</f>
        <v>1170</v>
      </c>
      <c r="BT55">
        <f>450</f>
        <v>450</v>
      </c>
      <c r="BU55">
        <f>882</f>
        <v>882</v>
      </c>
      <c r="BV55">
        <f>1026</f>
        <v>1026</v>
      </c>
      <c r="BW55">
        <f>1523</f>
        <v>1523</v>
      </c>
      <c r="BX55">
        <f>1957</f>
        <v>1957</v>
      </c>
      <c r="BY55">
        <f>1840</f>
        <v>1840</v>
      </c>
      <c r="BZ55">
        <f>2406</f>
        <v>2406</v>
      </c>
      <c r="CA55">
        <f>2824</f>
        <v>2824</v>
      </c>
      <c r="CB55">
        <f>3001</f>
        <v>3001</v>
      </c>
      <c r="CC55">
        <f>2776</f>
        <v>2776</v>
      </c>
      <c r="CD55">
        <f>1470</f>
        <v>1470</v>
      </c>
      <c r="CE55">
        <f>3488</f>
        <v>3488</v>
      </c>
      <c r="CF55">
        <f>2483</f>
        <v>2483</v>
      </c>
      <c r="CG55">
        <f>1470</f>
        <v>1470</v>
      </c>
      <c r="CH55">
        <f>1653</f>
        <v>1653</v>
      </c>
      <c r="CI55">
        <f>1717</f>
        <v>1717</v>
      </c>
      <c r="CJ55">
        <f>1461</f>
        <v>1461</v>
      </c>
      <c r="CK55">
        <f>921</f>
        <v>921</v>
      </c>
      <c r="CL55">
        <f>1029</f>
        <v>1029</v>
      </c>
      <c r="CM55">
        <f>1249</f>
        <v>1249</v>
      </c>
      <c r="CN55">
        <f>1428</f>
        <v>1428</v>
      </c>
      <c r="CO55">
        <f>1096</f>
        <v>1096</v>
      </c>
      <c r="CP55">
        <f>1266</f>
        <v>1266</v>
      </c>
      <c r="CQ55">
        <f>1311</f>
        <v>1311</v>
      </c>
      <c r="CR55">
        <f>1447</f>
        <v>1447</v>
      </c>
      <c r="CS55">
        <f>1154</f>
        <v>1154</v>
      </c>
      <c r="CT55">
        <f>1538</f>
        <v>1538</v>
      </c>
      <c r="CU55">
        <f>1662</f>
        <v>1662</v>
      </c>
      <c r="CV55">
        <f>1656</f>
        <v>1656</v>
      </c>
      <c r="CW55">
        <f>1111</f>
        <v>1111</v>
      </c>
      <c r="CX55">
        <f>1190</f>
        <v>1190</v>
      </c>
      <c r="CY55">
        <f>1421</f>
        <v>1421</v>
      </c>
      <c r="CZ55">
        <f>1602</f>
        <v>1602</v>
      </c>
      <c r="DA55">
        <f>1270</f>
        <v>1270</v>
      </c>
      <c r="DB55">
        <f>1168</f>
        <v>1168</v>
      </c>
      <c r="DC55">
        <f>1285</f>
        <v>1285</v>
      </c>
      <c r="DD55">
        <f>1270</f>
        <v>1270</v>
      </c>
      <c r="DE55">
        <f>966</f>
        <v>966</v>
      </c>
      <c r="DF55">
        <f>1238</f>
        <v>1238</v>
      </c>
      <c r="DG55">
        <f>1606</f>
        <v>1606</v>
      </c>
      <c r="DH55">
        <f>1921</f>
        <v>1921</v>
      </c>
      <c r="DI55">
        <f>1819</f>
        <v>1819</v>
      </c>
      <c r="DJ55">
        <f>2100</f>
        <v>2100</v>
      </c>
      <c r="DK55">
        <f>2200</f>
        <v>2200</v>
      </c>
      <c r="DL55">
        <f>2100</f>
        <v>2100</v>
      </c>
      <c r="DM55">
        <f>1600</f>
        <v>1600</v>
      </c>
      <c r="DN55">
        <f>1800</f>
        <v>1800</v>
      </c>
      <c r="DO55">
        <f>1500</f>
        <v>1500</v>
      </c>
      <c r="DP55">
        <f>1400</f>
        <v>1400</v>
      </c>
      <c r="DQ55">
        <f>1600</f>
        <v>1600</v>
      </c>
      <c r="DR55">
        <f>2600</f>
        <v>2600</v>
      </c>
      <c r="DS55">
        <f>2400</f>
        <v>2400</v>
      </c>
      <c r="DT55">
        <f>1800</f>
        <v>1800</v>
      </c>
      <c r="DU55">
        <f>1400</f>
        <v>1400</v>
      </c>
    </row>
    <row r="56" spans="1:125">
      <c r="A56" t="str">
        <f>"    SunTrust Banks Inc"</f>
        <v xml:space="preserve">    SunTrust Banks Inc</v>
      </c>
      <c r="B56" t="str">
        <f>"STI US Equity"</f>
        <v>STI US Equity</v>
      </c>
      <c r="C56" t="str">
        <f t="shared" si="4"/>
        <v>IS688</v>
      </c>
      <c r="D56" t="str">
        <f t="shared" si="5"/>
        <v>IS_RESIDENTIAL_MTG_ORIGINATIONS</v>
      </c>
      <c r="E56" t="str">
        <f t="shared" si="6"/>
        <v>Dynamic</v>
      </c>
      <c r="F56" t="str">
        <f ca="1">IF(AND(ISNUMBER($F$257),$B$185=1),$F$257,HLOOKUP(INDIRECT(ADDRESS(2,COLUMN())),OFFSET($BN$2,0,0,ROW()-1,60),ROW()-1,FALSE))</f>
        <v/>
      </c>
      <c r="G56" t="str">
        <f ca="1">IF(AND(ISNUMBER($G$257),$B$185=1),$G$257,HLOOKUP(INDIRECT(ADDRESS(2,COLUMN())),OFFSET($BN$2,0,0,ROW()-1,60),ROW()-1,FALSE))</f>
        <v/>
      </c>
      <c r="H56" t="str">
        <f ca="1">IF(AND(ISNUMBER($H$257),$B$185=1),$H$257,HLOOKUP(INDIRECT(ADDRESS(2,COLUMN())),OFFSET($BN$2,0,0,ROW()-1,60),ROW()-1,FALSE))</f>
        <v/>
      </c>
      <c r="I56" t="str">
        <f ca="1">IF(AND(ISNUMBER($I$257),$B$185=1),$I$257,HLOOKUP(INDIRECT(ADDRESS(2,COLUMN())),OFFSET($BN$2,0,0,ROW()-1,60),ROW()-1,FALSE))</f>
        <v/>
      </c>
      <c r="J56" t="str">
        <f ca="1">IF(AND(ISNUMBER($J$257),$B$185=1),$J$257,HLOOKUP(INDIRECT(ADDRESS(2,COLUMN())),OFFSET($BN$2,0,0,ROW()-1,60),ROW()-1,FALSE))</f>
        <v/>
      </c>
      <c r="K56" t="str">
        <f ca="1">IF(AND(ISNUMBER($K$257),$B$185=1),$K$257,HLOOKUP(INDIRECT(ADDRESS(2,COLUMN())),OFFSET($BN$2,0,0,ROW()-1,60),ROW()-1,FALSE))</f>
        <v/>
      </c>
      <c r="L56" t="str">
        <f ca="1">IF(AND(ISNUMBER($L$257),$B$185=1),$L$257,HLOOKUP(INDIRECT(ADDRESS(2,COLUMN())),OFFSET($BN$2,0,0,ROW()-1,60),ROW()-1,FALSE))</f>
        <v/>
      </c>
      <c r="M56" t="str">
        <f ca="1">IF(AND(ISNUMBER($M$257),$B$185=1),$M$257,HLOOKUP(INDIRECT(ADDRESS(2,COLUMN())),OFFSET($BN$2,0,0,ROW()-1,60),ROW()-1,FALSE))</f>
        <v/>
      </c>
      <c r="N56" t="str">
        <f ca="1">IF(AND(ISNUMBER($N$257),$B$185=1),$N$257,HLOOKUP(INDIRECT(ADDRESS(2,COLUMN())),OFFSET($BN$2,0,0,ROW()-1,60),ROW()-1,FALSE))</f>
        <v/>
      </c>
      <c r="O56" t="str">
        <f ca="1">IF(AND(ISNUMBER($O$257),$B$185=1),$O$257,HLOOKUP(INDIRECT(ADDRESS(2,COLUMN())),OFFSET($BN$2,0,0,ROW()-1,60),ROW()-1,FALSE))</f>
        <v/>
      </c>
      <c r="P56" t="str">
        <f ca="1">IF(AND(ISNUMBER($P$257),$B$185=1),$P$257,HLOOKUP(INDIRECT(ADDRESS(2,COLUMN())),OFFSET($BN$2,0,0,ROW()-1,60),ROW()-1,FALSE))</f>
        <v/>
      </c>
      <c r="Q56" t="str">
        <f ca="1">IF(AND(ISNUMBER($Q$257),$B$185=1),$Q$257,HLOOKUP(INDIRECT(ADDRESS(2,COLUMN())),OFFSET($BN$2,0,0,ROW()-1,60),ROW()-1,FALSE))</f>
        <v/>
      </c>
      <c r="R56" t="str">
        <f ca="1">IF(AND(ISNUMBER($R$257),$B$185=1),$R$257,HLOOKUP(INDIRECT(ADDRESS(2,COLUMN())),OFFSET($BN$2,0,0,ROW()-1,60),ROW()-1,FALSE))</f>
        <v/>
      </c>
      <c r="S56" t="str">
        <f ca="1">IF(AND(ISNUMBER($S$257),$B$185=1),$S$257,HLOOKUP(INDIRECT(ADDRESS(2,COLUMN())),OFFSET($BN$2,0,0,ROW()-1,60),ROW()-1,FALSE))</f>
        <v/>
      </c>
      <c r="T56" t="str">
        <f ca="1">IF(AND(ISNUMBER($T$257),$B$185=1),$T$257,HLOOKUP(INDIRECT(ADDRESS(2,COLUMN())),OFFSET($BN$2,0,0,ROW()-1,60),ROW()-1,FALSE))</f>
        <v/>
      </c>
      <c r="U56" t="str">
        <f ca="1">IF(AND(ISNUMBER($U$257),$B$185=1),$U$257,HLOOKUP(INDIRECT(ADDRESS(2,COLUMN())),OFFSET($BN$2,0,0,ROW()-1,60),ROW()-1,FALSE))</f>
        <v/>
      </c>
      <c r="V56" t="str">
        <f ca="1">IF(AND(ISNUMBER($V$257),$B$185=1),$V$257,HLOOKUP(INDIRECT(ADDRESS(2,COLUMN())),OFFSET($BN$2,0,0,ROW()-1,60),ROW()-1,FALSE))</f>
        <v/>
      </c>
      <c r="W56" t="str">
        <f ca="1">IF(AND(ISNUMBER($W$257),$B$185=1),$W$257,HLOOKUP(INDIRECT(ADDRESS(2,COLUMN())),OFFSET($BN$2,0,0,ROW()-1,60),ROW()-1,FALSE))</f>
        <v/>
      </c>
      <c r="X56" t="str">
        <f ca="1">IF(AND(ISNUMBER($X$257),$B$185=1),$X$257,HLOOKUP(INDIRECT(ADDRESS(2,COLUMN())),OFFSET($BN$2,0,0,ROW()-1,60),ROW()-1,FALSE))</f>
        <v/>
      </c>
      <c r="Y56" t="str">
        <f ca="1">IF(AND(ISNUMBER($Y$257),$B$185=1),$Y$257,HLOOKUP(INDIRECT(ADDRESS(2,COLUMN())),OFFSET($BN$2,0,0,ROW()-1,60),ROW()-1,FALSE))</f>
        <v/>
      </c>
      <c r="Z56" t="str">
        <f ca="1">IF(AND(ISNUMBER($Z$257),$B$185=1),$Z$257,HLOOKUP(INDIRECT(ADDRESS(2,COLUMN())),OFFSET($BN$2,0,0,ROW()-1,60),ROW()-1,FALSE))</f>
        <v/>
      </c>
      <c r="AA56" t="str">
        <f ca="1">IF(AND(ISNUMBER($AA$257),$B$185=1),$AA$257,HLOOKUP(INDIRECT(ADDRESS(2,COLUMN())),OFFSET($BN$2,0,0,ROW()-1,60),ROW()-1,FALSE))</f>
        <v/>
      </c>
      <c r="AB56" t="str">
        <f ca="1">IF(AND(ISNUMBER($AB$257),$B$185=1),$AB$257,HLOOKUP(INDIRECT(ADDRESS(2,COLUMN())),OFFSET($BN$2,0,0,ROW()-1,60),ROW()-1,FALSE))</f>
        <v/>
      </c>
      <c r="AC56" t="str">
        <f ca="1">IF(AND(ISNUMBER($AC$257),$B$185=1),$AC$257,HLOOKUP(INDIRECT(ADDRESS(2,COLUMN())),OFFSET($BN$2,0,0,ROW()-1,60),ROW()-1,FALSE))</f>
        <v/>
      </c>
      <c r="AD56" t="str">
        <f ca="1">IF(AND(ISNUMBER($AD$257),$B$185=1),$AD$257,HLOOKUP(INDIRECT(ADDRESS(2,COLUMN())),OFFSET($BN$2,0,0,ROW()-1,60),ROW()-1,FALSE))</f>
        <v/>
      </c>
      <c r="AE56" t="str">
        <f ca="1">IF(AND(ISNUMBER($AE$257),$B$185=1),$AE$257,HLOOKUP(INDIRECT(ADDRESS(2,COLUMN())),OFFSET($BN$2,0,0,ROW()-1,60),ROW()-1,FALSE))</f>
        <v/>
      </c>
      <c r="AF56" t="str">
        <f ca="1">IF(AND(ISNUMBER($AF$257),$B$185=1),$AF$257,HLOOKUP(INDIRECT(ADDRESS(2,COLUMN())),OFFSET($BN$2,0,0,ROW()-1,60),ROW()-1,FALSE))</f>
        <v/>
      </c>
      <c r="AG56" t="str">
        <f ca="1">IF(AND(ISNUMBER($AG$257),$B$185=1),$AG$257,HLOOKUP(INDIRECT(ADDRESS(2,COLUMN())),OFFSET($BN$2,0,0,ROW()-1,60),ROW()-1,FALSE))</f>
        <v/>
      </c>
      <c r="AH56" t="str">
        <f ca="1">IF(AND(ISNUMBER($AH$257),$B$185=1),$AH$257,HLOOKUP(INDIRECT(ADDRESS(2,COLUMN())),OFFSET($BN$2,0,0,ROW()-1,60),ROW()-1,FALSE))</f>
        <v/>
      </c>
      <c r="AI56" t="str">
        <f ca="1">IF(AND(ISNUMBER($AI$257),$B$185=1),$AI$257,HLOOKUP(INDIRECT(ADDRESS(2,COLUMN())),OFFSET($BN$2,0,0,ROW()-1,60),ROW()-1,FALSE))</f>
        <v/>
      </c>
      <c r="AJ56" t="str">
        <f ca="1">IF(AND(ISNUMBER($AJ$257),$B$185=1),$AJ$257,HLOOKUP(INDIRECT(ADDRESS(2,COLUMN())),OFFSET($BN$2,0,0,ROW()-1,60),ROW()-1,FALSE))</f>
        <v/>
      </c>
      <c r="AK56" t="str">
        <f ca="1">IF(AND(ISNUMBER($AK$257),$B$185=1),$AK$257,HLOOKUP(INDIRECT(ADDRESS(2,COLUMN())),OFFSET($BN$2,0,0,ROW()-1,60),ROW()-1,FALSE))</f>
        <v/>
      </c>
      <c r="AL56" t="str">
        <f ca="1">IF(AND(ISNUMBER($AL$257),$B$185=1),$AL$257,HLOOKUP(INDIRECT(ADDRESS(2,COLUMN())),OFFSET($BN$2,0,0,ROW()-1,60),ROW()-1,FALSE))</f>
        <v/>
      </c>
      <c r="AM56" t="str">
        <f ca="1">IF(AND(ISNUMBER($AM$257),$B$185=1),$AM$257,HLOOKUP(INDIRECT(ADDRESS(2,COLUMN())),OFFSET($BN$2,0,0,ROW()-1,60),ROW()-1,FALSE))</f>
        <v/>
      </c>
      <c r="AN56" t="str">
        <f ca="1">IF(AND(ISNUMBER($AN$257),$B$185=1),$AN$257,HLOOKUP(INDIRECT(ADDRESS(2,COLUMN())),OFFSET($BN$2,0,0,ROW()-1,60),ROW()-1,FALSE))</f>
        <v/>
      </c>
      <c r="AO56" t="str">
        <f ca="1">IF(AND(ISNUMBER($AO$257),$B$185=1),$AO$257,HLOOKUP(INDIRECT(ADDRESS(2,COLUMN())),OFFSET($BN$2,0,0,ROW()-1,60),ROW()-1,FALSE))</f>
        <v/>
      </c>
      <c r="AP56" t="str">
        <f ca="1">IF(AND(ISNUMBER($AP$257),$B$185=1),$AP$257,HLOOKUP(INDIRECT(ADDRESS(2,COLUMN())),OFFSET($BN$2,0,0,ROW()-1,60),ROW()-1,FALSE))</f>
        <v/>
      </c>
      <c r="AQ56" t="str">
        <f ca="1">IF(AND(ISNUMBER($AQ$257),$B$185=1),$AQ$257,HLOOKUP(INDIRECT(ADDRESS(2,COLUMN())),OFFSET($BN$2,0,0,ROW()-1,60),ROW()-1,FALSE))</f>
        <v/>
      </c>
      <c r="AR56" t="str">
        <f ca="1">IF(AND(ISNUMBER($AR$257),$B$185=1),$AR$257,HLOOKUP(INDIRECT(ADDRESS(2,COLUMN())),OFFSET($BN$2,0,0,ROW()-1,60),ROW()-1,FALSE))</f>
        <v/>
      </c>
      <c r="AS56" t="str">
        <f ca="1">IF(AND(ISNUMBER($AS$257),$B$185=1),$AS$257,HLOOKUP(INDIRECT(ADDRESS(2,COLUMN())),OFFSET($BN$2,0,0,ROW()-1,60),ROW()-1,FALSE))</f>
        <v/>
      </c>
      <c r="AT56" t="str">
        <f ca="1">IF(AND(ISNUMBER($AT$257),$B$185=1),$AT$257,HLOOKUP(INDIRECT(ADDRESS(2,COLUMN())),OFFSET($BN$2,0,0,ROW()-1,60),ROW()-1,FALSE))</f>
        <v/>
      </c>
      <c r="AU56" t="str">
        <f ca="1">IF(AND(ISNUMBER($AU$257),$B$185=1),$AU$257,HLOOKUP(INDIRECT(ADDRESS(2,COLUMN())),OFFSET($BN$2,0,0,ROW()-1,60),ROW()-1,FALSE))</f>
        <v/>
      </c>
      <c r="AV56" t="str">
        <f ca="1">IF(AND(ISNUMBER($AV$257),$B$185=1),$AV$257,HLOOKUP(INDIRECT(ADDRESS(2,COLUMN())),OFFSET($BN$2,0,0,ROW()-1,60),ROW()-1,FALSE))</f>
        <v/>
      </c>
      <c r="AW56" t="str">
        <f ca="1">IF(AND(ISNUMBER($AW$257),$B$185=1),$AW$257,HLOOKUP(INDIRECT(ADDRESS(2,COLUMN())),OFFSET($BN$2,0,0,ROW()-1,60),ROW()-1,FALSE))</f>
        <v/>
      </c>
      <c r="AX56" t="str">
        <f ca="1">IF(AND(ISNUMBER($AX$257),$B$185=1),$AX$257,HLOOKUP(INDIRECT(ADDRESS(2,COLUMN())),OFFSET($BN$2,0,0,ROW()-1,60),ROW()-1,FALSE))</f>
        <v/>
      </c>
      <c r="AY56" t="str">
        <f ca="1">IF(AND(ISNUMBER($AY$257),$B$185=1),$AY$257,HLOOKUP(INDIRECT(ADDRESS(2,COLUMN())),OFFSET($BN$2,0,0,ROW()-1,60),ROW()-1,FALSE))</f>
        <v/>
      </c>
      <c r="AZ56" t="str">
        <f ca="1">IF(AND(ISNUMBER($AZ$257),$B$185=1),$AZ$257,HLOOKUP(INDIRECT(ADDRESS(2,COLUMN())),OFFSET($BN$2,0,0,ROW()-1,60),ROW()-1,FALSE))</f>
        <v/>
      </c>
      <c r="BA56" t="str">
        <f ca="1">IF(AND(ISNUMBER($BA$257),$B$185=1),$BA$257,HLOOKUP(INDIRECT(ADDRESS(2,COLUMN())),OFFSET($BN$2,0,0,ROW()-1,60),ROW()-1,FALSE))</f>
        <v/>
      </c>
      <c r="BB56" t="str">
        <f ca="1">IF(AND(ISNUMBER($BB$257),$B$185=1),$BB$257,HLOOKUP(INDIRECT(ADDRESS(2,COLUMN())),OFFSET($BN$2,0,0,ROW()-1,60),ROW()-1,FALSE))</f>
        <v/>
      </c>
      <c r="BC56" t="str">
        <f ca="1">IF(AND(ISNUMBER($BC$257),$B$185=1),$BC$257,HLOOKUP(INDIRECT(ADDRESS(2,COLUMN())),OFFSET($BN$2,0,0,ROW()-1,60),ROW()-1,FALSE))</f>
        <v/>
      </c>
      <c r="BD56" t="str">
        <f ca="1">IF(AND(ISNUMBER($BD$257),$B$185=1),$BD$257,HLOOKUP(INDIRECT(ADDRESS(2,COLUMN())),OFFSET($BN$2,0,0,ROW()-1,60),ROW()-1,FALSE))</f>
        <v/>
      </c>
      <c r="BE56" t="str">
        <f ca="1">IF(AND(ISNUMBER($BE$257),$B$185=1),$BE$257,HLOOKUP(INDIRECT(ADDRESS(2,COLUMN())),OFFSET($BN$2,0,0,ROW()-1,60),ROW()-1,FALSE))</f>
        <v/>
      </c>
      <c r="BF56" t="str">
        <f ca="1">IF(AND(ISNUMBER($BF$257),$B$185=1),$BF$257,HLOOKUP(INDIRECT(ADDRESS(2,COLUMN())),OFFSET($BN$2,0,0,ROW()-1,60),ROW()-1,FALSE))</f>
        <v/>
      </c>
      <c r="BG56" t="str">
        <f ca="1">IF(AND(ISNUMBER($BG$257),$B$185=1),$BG$257,HLOOKUP(INDIRECT(ADDRESS(2,COLUMN())),OFFSET($BN$2,0,0,ROW()-1,60),ROW()-1,FALSE))</f>
        <v/>
      </c>
      <c r="BH56" t="str">
        <f ca="1">IF(AND(ISNUMBER($BH$257),$B$185=1),$BH$257,HLOOKUP(INDIRECT(ADDRESS(2,COLUMN())),OFFSET($BN$2,0,0,ROW()-1,60),ROW()-1,FALSE))</f>
        <v/>
      </c>
      <c r="BI56" t="str">
        <f ca="1">IF(AND(ISNUMBER($BI$257),$B$185=1),$BI$257,HLOOKUP(INDIRECT(ADDRESS(2,COLUMN())),OFFSET($BN$2,0,0,ROW()-1,60),ROW()-1,FALSE))</f>
        <v/>
      </c>
      <c r="BJ56" t="str">
        <f ca="1">IF(AND(ISNUMBER($BJ$257),$B$185=1),$BJ$257,HLOOKUP(INDIRECT(ADDRESS(2,COLUMN())),OFFSET($BN$2,0,0,ROW()-1,60),ROW()-1,FALSE))</f>
        <v/>
      </c>
      <c r="BK56" t="str">
        <f ca="1">IF(AND(ISNUMBER($BK$257),$B$185=1),$BK$257,HLOOKUP(INDIRECT(ADDRESS(2,COLUMN())),OFFSET($BN$2,0,0,ROW()-1,60),ROW()-1,FALSE))</f>
        <v/>
      </c>
      <c r="BL56" t="str">
        <f ca="1">IF(AND(ISNUMBER($BL$257),$B$185=1),$BL$257,HLOOKUP(INDIRECT(ADDRESS(2,COLUMN())),OFFSET($BN$2,0,0,ROW()-1,60),ROW()-1,FALSE))</f>
        <v/>
      </c>
      <c r="BM56" t="str">
        <f ca="1">IF(AND(ISNUMBER($BM$257),$B$185=1),$BM$257,HLOOKUP(INDIRECT(ADDRESS(2,COLUMN())),OFFSET($BN$2,0,0,ROW()-1,60),ROW()-1,FALSE))</f>
        <v/>
      </c>
      <c r="BN56" t="str">
        <f>""</f>
        <v/>
      </c>
      <c r="BO56" t="str">
        <f>""</f>
        <v/>
      </c>
      <c r="BP56" t="str">
        <f>""</f>
        <v/>
      </c>
      <c r="BQ56" t="str">
        <f>""</f>
        <v/>
      </c>
      <c r="BR56" t="str">
        <f>""</f>
        <v/>
      </c>
      <c r="BS56" t="str">
        <f>""</f>
        <v/>
      </c>
      <c r="BT56" t="str">
        <f>""</f>
        <v/>
      </c>
      <c r="BU56" t="str">
        <f>""</f>
        <v/>
      </c>
      <c r="BV56" t="str">
        <f>""</f>
        <v/>
      </c>
      <c r="BW56" t="str">
        <f>""</f>
        <v/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  <c r="CI56" t="str">
        <f>""</f>
        <v/>
      </c>
      <c r="CJ56" t="str">
        <f>""</f>
        <v/>
      </c>
      <c r="CK56" t="str">
        <f>""</f>
        <v/>
      </c>
      <c r="CL56" t="str">
        <f>""</f>
        <v/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 t="str">
        <f>""</f>
        <v/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 t="str">
        <f>""</f>
        <v/>
      </c>
      <c r="DG56" t="str">
        <f>""</f>
        <v/>
      </c>
      <c r="DH56" t="str">
        <f>""</f>
        <v/>
      </c>
      <c r="DI56" t="str">
        <f>""</f>
        <v/>
      </c>
      <c r="DJ56" t="str">
        <f>""</f>
        <v/>
      </c>
      <c r="DK56" t="str">
        <f>""</f>
        <v/>
      </c>
      <c r="DL56" t="str">
        <f>""</f>
        <v/>
      </c>
      <c r="DM56" t="str">
        <f>""</f>
        <v/>
      </c>
      <c r="DN56" t="str">
        <f>""</f>
        <v/>
      </c>
      <c r="DO56" t="str">
        <f>""</f>
        <v/>
      </c>
      <c r="DP56" t="str">
        <f>""</f>
        <v/>
      </c>
      <c r="DQ56" t="str">
        <f>""</f>
        <v/>
      </c>
      <c r="DR56" t="str">
        <f>""</f>
        <v/>
      </c>
      <c r="DS56" t="str">
        <f>""</f>
        <v/>
      </c>
      <c r="DT56" t="str">
        <f>""</f>
        <v/>
      </c>
      <c r="DU56" t="str">
        <f>""</f>
        <v/>
      </c>
    </row>
    <row r="57" spans="1:125">
      <c r="A57" t="str">
        <f>"    US Bancorp/MN"</f>
        <v xml:space="preserve">    US Bancorp/MN</v>
      </c>
      <c r="B57" t="str">
        <f>"USB US Equity"</f>
        <v>USB US Equity</v>
      </c>
      <c r="C57" t="str">
        <f t="shared" si="4"/>
        <v>IS688</v>
      </c>
      <c r="D57" t="str">
        <f t="shared" si="5"/>
        <v>IS_RESIDENTIAL_MTG_ORIGINATIONS</v>
      </c>
      <c r="E57" t="str">
        <f t="shared" si="6"/>
        <v>Dynamic</v>
      </c>
      <c r="F57">
        <f ca="1">IF(AND(ISNUMBER($F$258),$B$185=1),$F$258,HLOOKUP(INDIRECT(ADDRESS(2,COLUMN())),OFFSET($BN$2,0,0,ROW()-1,60),ROW()-1,FALSE))</f>
        <v>10211</v>
      </c>
      <c r="G57">
        <f ca="1">IF(AND(ISNUMBER($G$258),$B$185=1),$G$258,HLOOKUP(INDIRECT(ADDRESS(2,COLUMN())),OFFSET($BN$2,0,0,ROW()-1,60),ROW()-1,FALSE))</f>
        <v>11076</v>
      </c>
      <c r="H57">
        <f ca="1">IF(AND(ISNUMBER($H$258),$B$185=1),$H$258,HLOOKUP(INDIRECT(ADDRESS(2,COLUMN())),OFFSET($BN$2,0,0,ROW()-1,60),ROW()-1,FALSE))</f>
        <v>14415</v>
      </c>
      <c r="I57">
        <f ca="1">IF(AND(ISNUMBER($I$258),$B$185=1),$I$258,HLOOKUP(INDIRECT(ADDRESS(2,COLUMN())),OFFSET($BN$2,0,0,ROW()-1,60),ROW()-1,FALSE))</f>
        <v>12531</v>
      </c>
      <c r="J57">
        <f ca="1">IF(AND(ISNUMBER($J$258),$B$185=1),$J$258,HLOOKUP(INDIRECT(ADDRESS(2,COLUMN())),OFFSET($BN$2,0,0,ROW()-1,60),ROW()-1,FALSE))</f>
        <v>7405</v>
      </c>
      <c r="K57">
        <f ca="1">IF(AND(ISNUMBER($K$258),$B$185=1),$K$258,HLOOKUP(INDIRECT(ADDRESS(2,COLUMN())),OFFSET($BN$2,0,0,ROW()-1,60),ROW()-1,FALSE))</f>
        <v>9493</v>
      </c>
      <c r="L57">
        <f ca="1">IF(AND(ISNUMBER($L$258),$B$185=1),$L$258,HLOOKUP(INDIRECT(ADDRESS(2,COLUMN())),OFFSET($BN$2,0,0,ROW()-1,60),ROW()-1,FALSE))</f>
        <v>15841</v>
      </c>
      <c r="M57">
        <f ca="1">IF(AND(ISNUMBER($M$258),$B$185=1),$M$258,HLOOKUP(INDIRECT(ADDRESS(2,COLUMN())),OFFSET($BN$2,0,0,ROW()-1,60),ROW()-1,FALSE))</f>
        <v>16077</v>
      </c>
      <c r="N57">
        <f ca="1">IF(AND(ISNUMBER($N$258),$B$185=1),$N$258,HLOOKUP(INDIRECT(ADDRESS(2,COLUMN())),OFFSET($BN$2,0,0,ROW()-1,60),ROW()-1,FALSE))</f>
        <v>11195</v>
      </c>
      <c r="O57">
        <f ca="1">IF(AND(ISNUMBER($O$258),$B$185=1),$O$258,HLOOKUP(INDIRECT(ADDRESS(2,COLUMN())),OFFSET($BN$2,0,0,ROW()-1,60),ROW()-1,FALSE))</f>
        <v>15606</v>
      </c>
      <c r="P57">
        <f ca="1">IF(AND(ISNUMBER($P$258),$B$185=1),$P$258,HLOOKUP(INDIRECT(ADDRESS(2,COLUMN())),OFFSET($BN$2,0,0,ROW()-1,60),ROW()-1,FALSE))</f>
        <v>13895</v>
      </c>
      <c r="Q57">
        <f ca="1">IF(AND(ISNUMBER($Q$258),$B$185=1),$Q$258,HLOOKUP(INDIRECT(ADDRESS(2,COLUMN())),OFFSET($BN$2,0,0,ROW()-1,60),ROW()-1,FALSE))</f>
        <v>16587</v>
      </c>
      <c r="R57">
        <f ca="1">IF(AND(ISNUMBER($R$258),$B$185=1),$R$258,HLOOKUP(INDIRECT(ADDRESS(2,COLUMN())),OFFSET($BN$2,0,0,ROW()-1,60),ROW()-1,FALSE))</f>
        <v>25231</v>
      </c>
      <c r="S57">
        <f ca="1">IF(AND(ISNUMBER($S$258),$B$185=1),$S$258,HLOOKUP(INDIRECT(ADDRESS(2,COLUMN())),OFFSET($BN$2,0,0,ROW()-1,60),ROW()-1,FALSE))</f>
        <v>28428</v>
      </c>
      <c r="T57">
        <f ca="1">IF(AND(ISNUMBER($T$258),$B$185=1),$T$258,HLOOKUP(INDIRECT(ADDRESS(2,COLUMN())),OFFSET($BN$2,0,0,ROW()-1,60),ROW()-1,FALSE))</f>
        <v>23714</v>
      </c>
      <c r="U57">
        <f ca="1">IF(AND(ISNUMBER($U$258),$B$185=1),$U$258,HLOOKUP(INDIRECT(ADDRESS(2,COLUMN())),OFFSET($BN$2,0,0,ROW()-1,60),ROW()-1,FALSE))</f>
        <v>24803</v>
      </c>
      <c r="V57">
        <f ca="1">IF(AND(ISNUMBER($V$258),$B$185=1),$V$258,HLOOKUP(INDIRECT(ADDRESS(2,COLUMN())),OFFSET($BN$2,0,0,ROW()-1,60),ROW()-1,FALSE))</f>
        <v>31361</v>
      </c>
      <c r="W57">
        <f ca="1">IF(AND(ISNUMBER($W$258),$B$185=1),$W$258,HLOOKUP(INDIRECT(ADDRESS(2,COLUMN())),OFFSET($BN$2,0,0,ROW()-1,60),ROW()-1,FALSE))</f>
        <v>25710</v>
      </c>
      <c r="X57">
        <f ca="1">IF(AND(ISNUMBER($X$258),$B$185=1),$X$258,HLOOKUP(INDIRECT(ADDRESS(2,COLUMN())),OFFSET($BN$2,0,0,ROW()-1,60),ROW()-1,FALSE))</f>
        <v>22374</v>
      </c>
      <c r="Y57">
        <f ca="1">IF(AND(ISNUMBER($Y$258),$B$185=1),$Y$258,HLOOKUP(INDIRECT(ADDRESS(2,COLUMN())),OFFSET($BN$2,0,0,ROW()-1,60),ROW()-1,FALSE))</f>
        <v>16098</v>
      </c>
      <c r="Z57">
        <f ca="1">IF(AND(ISNUMBER($Z$258),$B$185=1),$Z$258,HLOOKUP(INDIRECT(ADDRESS(2,COLUMN())),OFFSET($BN$2,0,0,ROW()-1,60),ROW()-1,FALSE))</f>
        <v>9123</v>
      </c>
      <c r="AA57">
        <f ca="1">IF(AND(ISNUMBER($AA$258),$B$185=1),$AA$258,HLOOKUP(INDIRECT(ADDRESS(2,COLUMN())),OFFSET($BN$2,0,0,ROW()-1,60),ROW()-1,FALSE))</f>
        <v>15831</v>
      </c>
      <c r="AB57">
        <f ca="1">IF(AND(ISNUMBER($AB$258),$B$185=1),$AB$258,HLOOKUP(INDIRECT(ADDRESS(2,COLUMN())),OFFSET($BN$2,0,0,ROW()-1,60),ROW()-1,FALSE))</f>
        <v>13503</v>
      </c>
      <c r="AC57">
        <f ca="1">IF(AND(ISNUMBER($AC$258),$B$185=1),$AC$258,HLOOKUP(INDIRECT(ADDRESS(2,COLUMN())),OFFSET($BN$2,0,0,ROW()-1,60),ROW()-1,FALSE))</f>
        <v>9430</v>
      </c>
      <c r="AD57">
        <f ca="1">IF(AND(ISNUMBER($AD$258),$B$185=1),$AD$258,HLOOKUP(INDIRECT(ADDRESS(2,COLUMN())),OFFSET($BN$2,0,0,ROW()-1,60),ROW()-1,FALSE))</f>
        <v>9123</v>
      </c>
      <c r="AE57">
        <f ca="1">IF(AND(ISNUMBER($AE$258),$B$185=1),$AE$258,HLOOKUP(INDIRECT(ADDRESS(2,COLUMN())),OFFSET($BN$2,0,0,ROW()-1,60),ROW()-1,FALSE))</f>
        <v>11272</v>
      </c>
      <c r="AF57">
        <f ca="1">IF(AND(ISNUMBER($AF$258),$B$185=1),$AF$258,HLOOKUP(INDIRECT(ADDRESS(2,COLUMN())),OFFSET($BN$2,0,0,ROW()-1,60),ROW()-1,FALSE))</f>
        <v>10983</v>
      </c>
      <c r="AG57">
        <f ca="1">IF(AND(ISNUMBER($AG$258),$B$185=1),$AG$258,HLOOKUP(INDIRECT(ADDRESS(2,COLUMN())),OFFSET($BN$2,0,0,ROW()-1,60),ROW()-1,FALSE))</f>
        <v>9982</v>
      </c>
      <c r="AH57">
        <f ca="1">IF(AND(ISNUMBER($AH$258),$B$185=1),$AH$258,HLOOKUP(INDIRECT(ADDRESS(2,COLUMN())),OFFSET($BN$2,0,0,ROW()-1,60),ROW()-1,FALSE))</f>
        <v>12526</v>
      </c>
      <c r="AI57">
        <f ca="1">IF(AND(ISNUMBER($AI$258),$B$185=1),$AI$258,HLOOKUP(INDIRECT(ADDRESS(2,COLUMN())),OFFSET($BN$2,0,0,ROW()-1,60),ROW()-1,FALSE))</f>
        <v>12061</v>
      </c>
      <c r="AJ57">
        <f ca="1">IF(AND(ISNUMBER($AJ$258),$B$185=1),$AJ$258,HLOOKUP(INDIRECT(ADDRESS(2,COLUMN())),OFFSET($BN$2,0,0,ROW()-1,60),ROW()-1,FALSE))</f>
        <v>10999</v>
      </c>
      <c r="AK57">
        <f ca="1">IF(AND(ISNUMBER($AK$258),$B$185=1),$AK$258,HLOOKUP(INDIRECT(ADDRESS(2,COLUMN())),OFFSET($BN$2,0,0,ROW()-1,60),ROW()-1,FALSE))</f>
        <v>9984</v>
      </c>
      <c r="AL57">
        <f ca="1">IF(AND(ISNUMBER($AL$258),$B$185=1),$AL$258,HLOOKUP(INDIRECT(ADDRESS(2,COLUMN())),OFFSET($BN$2,0,0,ROW()-1,60),ROW()-1,FALSE))</f>
        <v>13978</v>
      </c>
      <c r="AM57">
        <f ca="1">IF(AND(ISNUMBER($AM$258),$B$185=1),$AM$258,HLOOKUP(INDIRECT(ADDRESS(2,COLUMN())),OFFSET($BN$2,0,0,ROW()-1,60),ROW()-1,FALSE))</f>
        <v>14995</v>
      </c>
      <c r="AN57">
        <f ca="1">IF(AND(ISNUMBER($AN$258),$B$185=1),$AN$258,HLOOKUP(INDIRECT(ADDRESS(2,COLUMN())),OFFSET($BN$2,0,0,ROW()-1,60),ROW()-1,FALSE))</f>
        <v>13540</v>
      </c>
      <c r="AO57">
        <f ca="1">IF(AND(ISNUMBER($AO$258),$B$185=1),$AO$258,HLOOKUP(INDIRECT(ADDRESS(2,COLUMN())),OFFSET($BN$2,0,0,ROW()-1,60),ROW()-1,FALSE))</f>
        <v>10973</v>
      </c>
      <c r="AP57">
        <f ca="1">IF(AND(ISNUMBER($AP$258),$B$185=1),$AP$258,HLOOKUP(INDIRECT(ADDRESS(2,COLUMN())),OFFSET($BN$2,0,0,ROW()-1,60),ROW()-1,FALSE))</f>
        <v>11426</v>
      </c>
      <c r="AQ57">
        <f ca="1">IF(AND(ISNUMBER($AQ$258),$B$185=1),$AQ$258,HLOOKUP(INDIRECT(ADDRESS(2,COLUMN())),OFFSET($BN$2,0,0,ROW()-1,60),ROW()-1,FALSE))</f>
        <v>13979</v>
      </c>
      <c r="AR57">
        <f ca="1">IF(AND(ISNUMBER($AR$258),$B$185=1),$AR$258,HLOOKUP(INDIRECT(ADDRESS(2,COLUMN())),OFFSET($BN$2,0,0,ROW()-1,60),ROW()-1,FALSE))</f>
        <v>13388</v>
      </c>
      <c r="AS57">
        <f ca="1">IF(AND(ISNUMBER($AS$258),$B$185=1),$AS$258,HLOOKUP(INDIRECT(ADDRESS(2,COLUMN())),OFFSET($BN$2,0,0,ROW()-1,60),ROW()-1,FALSE))</f>
        <v>10900</v>
      </c>
      <c r="AT57">
        <f ca="1">IF(AND(ISNUMBER($AT$258),$B$185=1),$AT$258,HLOOKUP(INDIRECT(ADDRESS(2,COLUMN())),OFFSET($BN$2,0,0,ROW()-1,60),ROW()-1,FALSE))</f>
        <v>10448</v>
      </c>
      <c r="AU57">
        <f ca="1">IF(AND(ISNUMBER($AU$258),$B$185=1),$AU$258,HLOOKUP(INDIRECT(ADDRESS(2,COLUMN())),OFFSET($BN$2,0,0,ROW()-1,60),ROW()-1,FALSE))</f>
        <v>10410</v>
      </c>
      <c r="AV57">
        <f ca="1">IF(AND(ISNUMBER($AV$258),$B$185=1),$AV$258,HLOOKUP(INDIRECT(ADDRESS(2,COLUMN())),OFFSET($BN$2,0,0,ROW()-1,60),ROW()-1,FALSE))</f>
        <v>7950</v>
      </c>
      <c r="AW57">
        <f ca="1">IF(AND(ISNUMBER($AW$258),$B$185=1),$AW$258,HLOOKUP(INDIRECT(ADDRESS(2,COLUMN())),OFFSET($BN$2,0,0,ROW()-1,60),ROW()-1,FALSE))</f>
        <v>6245</v>
      </c>
      <c r="AX57">
        <f ca="1">IF(AND(ISNUMBER($AX$258),$B$185=1),$AX$258,HLOOKUP(INDIRECT(ADDRESS(2,COLUMN())),OFFSET($BN$2,0,0,ROW()-1,60),ROW()-1,FALSE))</f>
        <v>8563</v>
      </c>
      <c r="AY57">
        <f ca="1">IF(AND(ISNUMBER($AY$258),$B$185=1),$AY$258,HLOOKUP(INDIRECT(ADDRESS(2,COLUMN())),OFFSET($BN$2,0,0,ROW()-1,60),ROW()-1,FALSE))</f>
        <v>15192</v>
      </c>
      <c r="AZ57">
        <f ca="1">IF(AND(ISNUMBER($AZ$258),$B$185=1),$AZ$258,HLOOKUP(INDIRECT(ADDRESS(2,COLUMN())),OFFSET($BN$2,0,0,ROW()-1,60),ROW()-1,FALSE))</f>
        <v>17796</v>
      </c>
      <c r="BA57">
        <f ca="1">IF(AND(ISNUMBER($BA$258),$B$185=1),$BA$258,HLOOKUP(INDIRECT(ADDRESS(2,COLUMN())),OFFSET($BN$2,0,0,ROW()-1,60),ROW()-1,FALSE))</f>
        <v>21698</v>
      </c>
      <c r="BB57">
        <f ca="1">IF(AND(ISNUMBER($BB$258),$B$185=1),$BB$258,HLOOKUP(INDIRECT(ADDRESS(2,COLUMN())),OFFSET($BN$2,0,0,ROW()-1,60),ROW()-1,FALSE))</f>
        <v>22111</v>
      </c>
      <c r="BC57">
        <f ca="1">IF(AND(ISNUMBER($BC$258),$B$185=1),$BC$258,HLOOKUP(INDIRECT(ADDRESS(2,COLUMN())),OFFSET($BN$2,0,0,ROW()-1,60),ROW()-1,FALSE))</f>
        <v>21529</v>
      </c>
      <c r="BD57">
        <f ca="1">IF(AND(ISNUMBER($BD$258),$B$185=1),$BD$258,HLOOKUP(INDIRECT(ADDRESS(2,COLUMN())),OFFSET($BN$2,0,0,ROW()-1,60),ROW()-1,FALSE))</f>
        <v>21667</v>
      </c>
      <c r="BE57">
        <f ca="1">IF(AND(ISNUMBER($BE$258),$B$185=1),$BE$258,HLOOKUP(INDIRECT(ADDRESS(2,COLUMN())),OFFSET($BN$2,0,0,ROW()-1,60),ROW()-1,FALSE))</f>
        <v>19168</v>
      </c>
      <c r="BF57">
        <f ca="1">IF(AND(ISNUMBER($BF$258),$B$185=1),$BF$258,HLOOKUP(INDIRECT(ADDRESS(2,COLUMN())),OFFSET($BN$2,0,0,ROW()-1,60),ROW()-1,FALSE))</f>
        <v>17415</v>
      </c>
      <c r="BG57">
        <f ca="1">IF(AND(ISNUMBER($BG$258),$B$185=1),$BG$258,HLOOKUP(INDIRECT(ADDRESS(2,COLUMN())),OFFSET($BN$2,0,0,ROW()-1,60),ROW()-1,FALSE))</f>
        <v>11509</v>
      </c>
      <c r="BH57">
        <f ca="1">IF(AND(ISNUMBER($BH$258),$B$185=1),$BH$258,HLOOKUP(INDIRECT(ADDRESS(2,COLUMN())),OFFSET($BN$2,0,0,ROW()-1,60),ROW()-1,FALSE))</f>
        <v>8070</v>
      </c>
      <c r="BI57">
        <f ca="1">IF(AND(ISNUMBER($BI$258),$B$185=1),$BI$258,HLOOKUP(INDIRECT(ADDRESS(2,COLUMN())),OFFSET($BN$2,0,0,ROW()-1,60),ROW()-1,FALSE))</f>
        <v>12131</v>
      </c>
      <c r="BJ57">
        <f ca="1">IF(AND(ISNUMBER($BJ$258),$B$185=1),$BJ$258,HLOOKUP(INDIRECT(ADDRESS(2,COLUMN())),OFFSET($BN$2,0,0,ROW()-1,60),ROW()-1,FALSE))</f>
        <v>19610</v>
      </c>
      <c r="BK57">
        <f ca="1">IF(AND(ISNUMBER($BK$258),$B$185=1),$BK$258,HLOOKUP(INDIRECT(ADDRESS(2,COLUMN())),OFFSET($BN$2,0,0,ROW()-1,60),ROW()-1,FALSE))</f>
        <v>16579</v>
      </c>
      <c r="BL57">
        <f ca="1">IF(AND(ISNUMBER($BL$258),$B$185=1),$BL$258,HLOOKUP(INDIRECT(ADDRESS(2,COLUMN())),OFFSET($BN$2,0,0,ROW()-1,60),ROW()-1,FALSE))</f>
        <v>10585</v>
      </c>
      <c r="BM57" t="str">
        <f ca="1">IF(AND(ISNUMBER($BM$258),$B$185=1),$BM$258,HLOOKUP(INDIRECT(ADDRESS(2,COLUMN())),OFFSET($BN$2,0,0,ROW()-1,60),ROW()-1,FALSE))</f>
        <v/>
      </c>
      <c r="BN57">
        <f>10211</f>
        <v>10211</v>
      </c>
      <c r="BO57">
        <f>11076</f>
        <v>11076</v>
      </c>
      <c r="BP57">
        <f>14415</f>
        <v>14415</v>
      </c>
      <c r="BQ57">
        <f>12531</f>
        <v>12531</v>
      </c>
      <c r="BR57">
        <f>7405</f>
        <v>7405</v>
      </c>
      <c r="BS57">
        <f>9493</f>
        <v>9493</v>
      </c>
      <c r="BT57">
        <f>15841</f>
        <v>15841</v>
      </c>
      <c r="BU57">
        <f>16077</f>
        <v>16077</v>
      </c>
      <c r="BV57">
        <f>11195</f>
        <v>11195</v>
      </c>
      <c r="BW57">
        <f>15606</f>
        <v>15606</v>
      </c>
      <c r="BX57">
        <f>13895</f>
        <v>13895</v>
      </c>
      <c r="BY57">
        <f>16587</f>
        <v>16587</v>
      </c>
      <c r="BZ57">
        <f>25231</f>
        <v>25231</v>
      </c>
      <c r="CA57">
        <f>28428</f>
        <v>28428</v>
      </c>
      <c r="CB57">
        <f>23714</f>
        <v>23714</v>
      </c>
      <c r="CC57">
        <f>24803</f>
        <v>24803</v>
      </c>
      <c r="CD57">
        <f>31361</f>
        <v>31361</v>
      </c>
      <c r="CE57">
        <f>25710</f>
        <v>25710</v>
      </c>
      <c r="CF57">
        <f>22374</f>
        <v>22374</v>
      </c>
      <c r="CG57">
        <f>16098</f>
        <v>16098</v>
      </c>
      <c r="CH57">
        <f>9123</f>
        <v>9123</v>
      </c>
      <c r="CI57">
        <f>15831</f>
        <v>15831</v>
      </c>
      <c r="CJ57">
        <f>13503</f>
        <v>13503</v>
      </c>
      <c r="CK57">
        <f>9430</f>
        <v>9430</v>
      </c>
      <c r="CL57">
        <f>9123</f>
        <v>9123</v>
      </c>
      <c r="CM57">
        <f>11272</f>
        <v>11272</v>
      </c>
      <c r="CN57">
        <f>10983</f>
        <v>10983</v>
      </c>
      <c r="CO57">
        <f>9982</f>
        <v>9982</v>
      </c>
      <c r="CP57">
        <f>12526</f>
        <v>12526</v>
      </c>
      <c r="CQ57">
        <f>12061</f>
        <v>12061</v>
      </c>
      <c r="CR57">
        <f>10999</f>
        <v>10999</v>
      </c>
      <c r="CS57">
        <f>9984</f>
        <v>9984</v>
      </c>
      <c r="CT57">
        <f>13978</f>
        <v>13978</v>
      </c>
      <c r="CU57">
        <f>14995</f>
        <v>14995</v>
      </c>
      <c r="CV57">
        <f>13540</f>
        <v>13540</v>
      </c>
      <c r="CW57">
        <f>10973</f>
        <v>10973</v>
      </c>
      <c r="CX57">
        <f>11426</f>
        <v>11426</v>
      </c>
      <c r="CY57">
        <f>13979</f>
        <v>13979</v>
      </c>
      <c r="CZ57">
        <f>13388</f>
        <v>13388</v>
      </c>
      <c r="DA57">
        <f>10900</f>
        <v>10900</v>
      </c>
      <c r="DB57">
        <f>10448</f>
        <v>10448</v>
      </c>
      <c r="DC57">
        <f>10410</f>
        <v>10410</v>
      </c>
      <c r="DD57">
        <f>7950</f>
        <v>7950</v>
      </c>
      <c r="DE57">
        <f>6245</f>
        <v>6245</v>
      </c>
      <c r="DF57">
        <f>8563</f>
        <v>8563</v>
      </c>
      <c r="DG57">
        <f>15192</f>
        <v>15192</v>
      </c>
      <c r="DH57">
        <f>17796</f>
        <v>17796</v>
      </c>
      <c r="DI57">
        <f>21698</f>
        <v>21698</v>
      </c>
      <c r="DJ57">
        <f>22111</f>
        <v>22111</v>
      </c>
      <c r="DK57">
        <f>21529</f>
        <v>21529</v>
      </c>
      <c r="DL57">
        <f>21667</f>
        <v>21667</v>
      </c>
      <c r="DM57">
        <f>19168</f>
        <v>19168</v>
      </c>
      <c r="DN57">
        <f>17415</f>
        <v>17415</v>
      </c>
      <c r="DO57">
        <f>11509</f>
        <v>11509</v>
      </c>
      <c r="DP57">
        <f>8070</f>
        <v>8070</v>
      </c>
      <c r="DQ57">
        <f>12131</f>
        <v>12131</v>
      </c>
      <c r="DR57">
        <f>19610</f>
        <v>19610</v>
      </c>
      <c r="DS57">
        <f>16579</f>
        <v>16579</v>
      </c>
      <c r="DT57">
        <f>10585</f>
        <v>10585</v>
      </c>
      <c r="DU57" t="str">
        <f>""</f>
        <v/>
      </c>
    </row>
    <row r="58" spans="1:125">
      <c r="A58" t="str">
        <f>"    Wells Fargo &amp; Co"</f>
        <v xml:space="preserve">    Wells Fargo &amp; Co</v>
      </c>
      <c r="B58" t="str">
        <f>"WFC US Equity"</f>
        <v>WFC US Equity</v>
      </c>
      <c r="C58" t="str">
        <f t="shared" si="4"/>
        <v>IS688</v>
      </c>
      <c r="D58" t="str">
        <f t="shared" si="5"/>
        <v>IS_RESIDENTIAL_MTG_ORIGINATIONS</v>
      </c>
      <c r="E58" t="str">
        <f t="shared" si="6"/>
        <v>Dynamic</v>
      </c>
      <c r="F58">
        <f ca="1">IF(AND(ISNUMBER($F$259),$B$185=1),$F$259,HLOOKUP(INDIRECT(ADDRESS(2,COLUMN())),OFFSET($BN$2,0,0,ROW()-1,60),ROW()-1,FALSE))</f>
        <v>5900</v>
      </c>
      <c r="G58">
        <f ca="1">IF(AND(ISNUMBER($G$259),$B$185=1),$G$259,HLOOKUP(INDIRECT(ADDRESS(2,COLUMN())),OFFSET($BN$2,0,0,ROW()-1,60),ROW()-1,FALSE))</f>
        <v>5500</v>
      </c>
      <c r="H58">
        <f ca="1">IF(AND(ISNUMBER($H$259),$B$185=1),$H$259,HLOOKUP(INDIRECT(ADDRESS(2,COLUMN())),OFFSET($BN$2,0,0,ROW()-1,60),ROW()-1,FALSE))</f>
        <v>5300</v>
      </c>
      <c r="I58" t="str">
        <f ca="1">IF(AND(ISNUMBER($I$259),$B$185=1),$I$259,HLOOKUP(INDIRECT(ADDRESS(2,COLUMN())),OFFSET($BN$2,0,0,ROW()-1,60),ROW()-1,FALSE))</f>
        <v/>
      </c>
      <c r="J58">
        <f ca="1">IF(AND(ISNUMBER($J$259),$B$185=1),$J$259,HLOOKUP(INDIRECT(ADDRESS(2,COLUMN())),OFFSET($BN$2,0,0,ROW()-1,60),ROW()-1,FALSE))</f>
        <v>4500</v>
      </c>
      <c r="K58">
        <f ca="1">IF(AND(ISNUMBER($K$259),$B$185=1),$K$259,HLOOKUP(INDIRECT(ADDRESS(2,COLUMN())),OFFSET($BN$2,0,0,ROW()-1,60),ROW()-1,FALSE))</f>
        <v>6400</v>
      </c>
      <c r="L58">
        <f ca="1">IF(AND(ISNUMBER($L$259),$B$185=1),$L$259,HLOOKUP(INDIRECT(ADDRESS(2,COLUMN())),OFFSET($BN$2,0,0,ROW()-1,60),ROW()-1,FALSE))</f>
        <v>7800</v>
      </c>
      <c r="M58">
        <f ca="1">IF(AND(ISNUMBER($M$259),$B$185=1),$M$259,HLOOKUP(INDIRECT(ADDRESS(2,COLUMN())),OFFSET($BN$2,0,0,ROW()-1,60),ROW()-1,FALSE))</f>
        <v>6600</v>
      </c>
      <c r="N58">
        <f ca="1">IF(AND(ISNUMBER($N$259),$B$185=1),$N$259,HLOOKUP(INDIRECT(ADDRESS(2,COLUMN())),OFFSET($BN$2,0,0,ROW()-1,60),ROW()-1,FALSE))</f>
        <v>14600</v>
      </c>
      <c r="O58">
        <f ca="1">IF(AND(ISNUMBER($O$259),$B$185=1),$O$259,HLOOKUP(INDIRECT(ADDRESS(2,COLUMN())),OFFSET($BN$2,0,0,ROW()-1,60),ROW()-1,FALSE))</f>
        <v>21500</v>
      </c>
      <c r="P58">
        <f ca="1">IF(AND(ISNUMBER($P$259),$B$185=1),$P$259,HLOOKUP(INDIRECT(ADDRESS(2,COLUMN())),OFFSET($BN$2,0,0,ROW()-1,60),ROW()-1,FALSE))</f>
        <v>34100</v>
      </c>
      <c r="Q58">
        <f ca="1">IF(AND(ISNUMBER($Q$259),$B$185=1),$Q$259,HLOOKUP(INDIRECT(ADDRESS(2,COLUMN())),OFFSET($BN$2,0,0,ROW()-1,60),ROW()-1,FALSE))</f>
        <v>37900</v>
      </c>
      <c r="R58">
        <f ca="1">IF(AND(ISNUMBER($R$259),$B$185=1),$R$259,HLOOKUP(INDIRECT(ADDRESS(2,COLUMN())),OFFSET($BN$2,0,0,ROW()-1,60),ROW()-1,FALSE))</f>
        <v>48100</v>
      </c>
      <c r="S58">
        <f ca="1">IF(AND(ISNUMBER($S$259),$B$185=1),$S$259,HLOOKUP(INDIRECT(ADDRESS(2,COLUMN())),OFFSET($BN$2,0,0,ROW()-1,60),ROW()-1,FALSE))</f>
        <v>51900</v>
      </c>
      <c r="T58">
        <f ca="1">IF(AND(ISNUMBER($T$259),$B$185=1),$T$259,HLOOKUP(INDIRECT(ADDRESS(2,COLUMN())),OFFSET($BN$2,0,0,ROW()-1,60),ROW()-1,FALSE))</f>
        <v>53200</v>
      </c>
      <c r="U58">
        <f ca="1">IF(AND(ISNUMBER($U$259),$B$185=1),$U$259,HLOOKUP(INDIRECT(ADDRESS(2,COLUMN())),OFFSET($BN$2,0,0,ROW()-1,60),ROW()-1,FALSE))</f>
        <v>51800</v>
      </c>
      <c r="V58">
        <f ca="1">IF(AND(ISNUMBER($V$259),$B$185=1),$V$259,HLOOKUP(INDIRECT(ADDRESS(2,COLUMN())),OFFSET($BN$2,0,0,ROW()-1,60),ROW()-1,FALSE))</f>
        <v>53900</v>
      </c>
      <c r="W58">
        <f ca="1">IF(AND(ISNUMBER($W$259),$B$185=1),$W$259,HLOOKUP(INDIRECT(ADDRESS(2,COLUMN())),OFFSET($BN$2,0,0,ROW()-1,60),ROW()-1,FALSE))</f>
        <v>62000</v>
      </c>
      <c r="X58">
        <f ca="1">IF(AND(ISNUMBER($X$259),$B$185=1),$X$259,HLOOKUP(INDIRECT(ADDRESS(2,COLUMN())),OFFSET($BN$2,0,0,ROW()-1,60),ROW()-1,FALSE))</f>
        <v>59000</v>
      </c>
      <c r="Y58">
        <f ca="1">IF(AND(ISNUMBER($Y$259),$B$185=1),$Y$259,HLOOKUP(INDIRECT(ADDRESS(2,COLUMN())),OFFSET($BN$2,0,0,ROW()-1,60),ROW()-1,FALSE))</f>
        <v>48000</v>
      </c>
      <c r="Z58">
        <f ca="1">IF(AND(ISNUMBER($Z$259),$B$185=1),$Z$259,HLOOKUP(INDIRECT(ADDRESS(2,COLUMN())),OFFSET($BN$2,0,0,ROW()-1,60),ROW()-1,FALSE))</f>
        <v>60000</v>
      </c>
      <c r="AA58">
        <f ca="1">IF(AND(ISNUMBER($AA$259),$B$185=1),$AA$259,HLOOKUP(INDIRECT(ADDRESS(2,COLUMN())),OFFSET($BN$2,0,0,ROW()-1,60),ROW()-1,FALSE))</f>
        <v>58000</v>
      </c>
      <c r="AB58">
        <f ca="1">IF(AND(ISNUMBER($AB$259),$B$185=1),$AB$259,HLOOKUP(INDIRECT(ADDRESS(2,COLUMN())),OFFSET($BN$2,0,0,ROW()-1,60),ROW()-1,FALSE))</f>
        <v>53000</v>
      </c>
      <c r="AC58">
        <f ca="1">IF(AND(ISNUMBER($AC$259),$B$185=1),$AC$259,HLOOKUP(INDIRECT(ADDRESS(2,COLUMN())),OFFSET($BN$2,0,0,ROW()-1,60),ROW()-1,FALSE))</f>
        <v>33000</v>
      </c>
      <c r="AD58">
        <f ca="1">IF(AND(ISNUMBER($AD$259),$B$185=1),$AD$259,HLOOKUP(INDIRECT(ADDRESS(2,COLUMN())),OFFSET($BN$2,0,0,ROW()-1,60),ROW()-1,FALSE))</f>
        <v>38000</v>
      </c>
      <c r="AE58">
        <f ca="1">IF(AND(ISNUMBER($AE$259),$B$185=1),$AE$259,HLOOKUP(INDIRECT(ADDRESS(2,COLUMN())),OFFSET($BN$2,0,0,ROW()-1,60),ROW()-1,FALSE))</f>
        <v>46000</v>
      </c>
      <c r="AF58">
        <f ca="1">IF(AND(ISNUMBER($AF$259),$B$185=1),$AF$259,HLOOKUP(INDIRECT(ADDRESS(2,COLUMN())),OFFSET($BN$2,0,0,ROW()-1,60),ROW()-1,FALSE))</f>
        <v>50000</v>
      </c>
      <c r="AG58">
        <f ca="1">IF(AND(ISNUMBER($AG$259),$B$185=1),$AG$259,HLOOKUP(INDIRECT(ADDRESS(2,COLUMN())),OFFSET($BN$2,0,0,ROW()-1,60),ROW()-1,FALSE))</f>
        <v>43000</v>
      </c>
      <c r="AH58">
        <f ca="1">IF(AND(ISNUMBER($AH$259),$B$185=1),$AH$259,HLOOKUP(INDIRECT(ADDRESS(2,COLUMN())),OFFSET($BN$2,0,0,ROW()-1,60),ROW()-1,FALSE))</f>
        <v>53000</v>
      </c>
      <c r="AI58">
        <f ca="1">IF(AND(ISNUMBER($AI$259),$B$185=1),$AI$259,HLOOKUP(INDIRECT(ADDRESS(2,COLUMN())),OFFSET($BN$2,0,0,ROW()-1,60),ROW()-1,FALSE))</f>
        <v>59000</v>
      </c>
      <c r="AJ58">
        <f ca="1">IF(AND(ISNUMBER($AJ$259),$B$185=1),$AJ$259,HLOOKUP(INDIRECT(ADDRESS(2,COLUMN())),OFFSET($BN$2,0,0,ROW()-1,60),ROW()-1,FALSE))</f>
        <v>56000</v>
      </c>
      <c r="AK58">
        <f ca="1">IF(AND(ISNUMBER($AK$259),$B$185=1),$AK$259,HLOOKUP(INDIRECT(ADDRESS(2,COLUMN())),OFFSET($BN$2,0,0,ROW()-1,60),ROW()-1,FALSE))</f>
        <v>44000</v>
      </c>
      <c r="AL58">
        <f ca="1">IF(AND(ISNUMBER($AL$259),$B$185=1),$AL$259,HLOOKUP(INDIRECT(ADDRESS(2,COLUMN())),OFFSET($BN$2,0,0,ROW()-1,60),ROW()-1,FALSE))</f>
        <v>72000</v>
      </c>
      <c r="AM58">
        <f ca="1">IF(AND(ISNUMBER($AM$259),$B$185=1),$AM$259,HLOOKUP(INDIRECT(ADDRESS(2,COLUMN())),OFFSET($BN$2,0,0,ROW()-1,60),ROW()-1,FALSE))</f>
        <v>70000</v>
      </c>
      <c r="AN58">
        <f ca="1">IF(AND(ISNUMBER($AN$259),$B$185=1),$AN$259,HLOOKUP(INDIRECT(ADDRESS(2,COLUMN())),OFFSET($BN$2,0,0,ROW()-1,60),ROW()-1,FALSE))</f>
        <v>63000</v>
      </c>
      <c r="AO58">
        <f ca="1">IF(AND(ISNUMBER($AO$259),$B$185=1),$AO$259,HLOOKUP(INDIRECT(ADDRESS(2,COLUMN())),OFFSET($BN$2,0,0,ROW()-1,60),ROW()-1,FALSE))</f>
        <v>44000</v>
      </c>
      <c r="AP58">
        <f ca="1">IF(AND(ISNUMBER($AP$259),$B$185=1),$AP$259,HLOOKUP(INDIRECT(ADDRESS(2,COLUMN())),OFFSET($BN$2,0,0,ROW()-1,60),ROW()-1,FALSE))</f>
        <v>47000</v>
      </c>
      <c r="AQ58">
        <f ca="1">IF(AND(ISNUMBER($AQ$259),$B$185=1),$AQ$259,HLOOKUP(INDIRECT(ADDRESS(2,COLUMN())),OFFSET($BN$2,0,0,ROW()-1,60),ROW()-1,FALSE))</f>
        <v>55000</v>
      </c>
      <c r="AR58">
        <f ca="1">IF(AND(ISNUMBER($AR$259),$B$185=1),$AR$259,HLOOKUP(INDIRECT(ADDRESS(2,COLUMN())),OFFSET($BN$2,0,0,ROW()-1,60),ROW()-1,FALSE))</f>
        <v>62000</v>
      </c>
      <c r="AS58">
        <f ca="1">IF(AND(ISNUMBER($AS$259),$B$185=1),$AS$259,HLOOKUP(INDIRECT(ADDRESS(2,COLUMN())),OFFSET($BN$2,0,0,ROW()-1,60),ROW()-1,FALSE))</f>
        <v>49000</v>
      </c>
      <c r="AT58">
        <f ca="1">IF(AND(ISNUMBER($AT$259),$B$185=1),$AT$259,HLOOKUP(INDIRECT(ADDRESS(2,COLUMN())),OFFSET($BN$2,0,0,ROW()-1,60),ROW()-1,FALSE))</f>
        <v>44000</v>
      </c>
      <c r="AU58">
        <f ca="1">IF(AND(ISNUMBER($AU$259),$B$185=1),$AU$259,HLOOKUP(INDIRECT(ADDRESS(2,COLUMN())),OFFSET($BN$2,0,0,ROW()-1,60),ROW()-1,FALSE))</f>
        <v>48000</v>
      </c>
      <c r="AV58">
        <f ca="1">IF(AND(ISNUMBER($AV$259),$B$185=1),$AV$259,HLOOKUP(INDIRECT(ADDRESS(2,COLUMN())),OFFSET($BN$2,0,0,ROW()-1,60),ROW()-1,FALSE))</f>
        <v>47000</v>
      </c>
      <c r="AW58">
        <f ca="1">IF(AND(ISNUMBER($AW$259),$B$185=1),$AW$259,HLOOKUP(INDIRECT(ADDRESS(2,COLUMN())),OFFSET($BN$2,0,0,ROW()-1,60),ROW()-1,FALSE))</f>
        <v>36000</v>
      </c>
      <c r="AX58">
        <f ca="1">IF(AND(ISNUMBER($AX$259),$B$185=1),$AX$259,HLOOKUP(INDIRECT(ADDRESS(2,COLUMN())),OFFSET($BN$2,0,0,ROW()-1,60),ROW()-1,FALSE))</f>
        <v>50000</v>
      </c>
      <c r="AY58">
        <f ca="1">IF(AND(ISNUMBER($AY$259),$B$185=1),$AY$259,HLOOKUP(INDIRECT(ADDRESS(2,COLUMN())),OFFSET($BN$2,0,0,ROW()-1,60),ROW()-1,FALSE))</f>
        <v>80000</v>
      </c>
      <c r="AZ58">
        <f ca="1">IF(AND(ISNUMBER($AZ$259),$B$185=1),$AZ$259,HLOOKUP(INDIRECT(ADDRESS(2,COLUMN())),OFFSET($BN$2,0,0,ROW()-1,60),ROW()-1,FALSE))</f>
        <v>112000</v>
      </c>
      <c r="BA58">
        <f ca="1">IF(AND(ISNUMBER($BA$259),$B$185=1),$BA$259,HLOOKUP(INDIRECT(ADDRESS(2,COLUMN())),OFFSET($BN$2,0,0,ROW()-1,60),ROW()-1,FALSE))</f>
        <v>109000</v>
      </c>
      <c r="BB58">
        <f ca="1">IF(AND(ISNUMBER($BB$259),$B$185=1),$BB$259,HLOOKUP(INDIRECT(ADDRESS(2,COLUMN())),OFFSET($BN$2,0,0,ROW()-1,60),ROW()-1,FALSE))</f>
        <v>125000</v>
      </c>
      <c r="BC58">
        <f ca="1">IF(AND(ISNUMBER($BC$259),$B$185=1),$BC$259,HLOOKUP(INDIRECT(ADDRESS(2,COLUMN())),OFFSET($BN$2,0,0,ROW()-1,60),ROW()-1,FALSE))</f>
        <v>139000</v>
      </c>
      <c r="BD58">
        <f ca="1">IF(AND(ISNUMBER($BD$259),$B$185=1),$BD$259,HLOOKUP(INDIRECT(ADDRESS(2,COLUMN())),OFFSET($BN$2,0,0,ROW()-1,60),ROW()-1,FALSE))</f>
        <v>131000</v>
      </c>
      <c r="BE58">
        <f ca="1">IF(AND(ISNUMBER($BE$259),$B$185=1),$BE$259,HLOOKUP(INDIRECT(ADDRESS(2,COLUMN())),OFFSET($BN$2,0,0,ROW()-1,60),ROW()-1,FALSE))</f>
        <v>129000</v>
      </c>
      <c r="BF58">
        <f ca="1">IF(AND(ISNUMBER($BF$259),$B$185=1),$BF$259,HLOOKUP(INDIRECT(ADDRESS(2,COLUMN())),OFFSET($BN$2,0,0,ROW()-1,60),ROW()-1,FALSE))</f>
        <v>120000</v>
      </c>
      <c r="BG58">
        <f ca="1">IF(AND(ISNUMBER($BG$259),$B$185=1),$BG$259,HLOOKUP(INDIRECT(ADDRESS(2,COLUMN())),OFFSET($BN$2,0,0,ROW()-1,60),ROW()-1,FALSE))</f>
        <v>89000</v>
      </c>
      <c r="BH58">
        <f ca="1">IF(AND(ISNUMBER($BH$259),$B$185=1),$BH$259,HLOOKUP(INDIRECT(ADDRESS(2,COLUMN())),OFFSET($BN$2,0,0,ROW()-1,60),ROW()-1,FALSE))</f>
        <v>64000</v>
      </c>
      <c r="BI58">
        <f ca="1">IF(AND(ISNUMBER($BI$259),$B$185=1),$BI$259,HLOOKUP(INDIRECT(ADDRESS(2,COLUMN())),OFFSET($BN$2,0,0,ROW()-1,60),ROW()-1,FALSE))</f>
        <v>84000</v>
      </c>
      <c r="BJ58">
        <f ca="1">IF(AND(ISNUMBER($BJ$259),$B$185=1),$BJ$259,HLOOKUP(INDIRECT(ADDRESS(2,COLUMN())),OFFSET($BN$2,0,0,ROW()-1,60),ROW()-1,FALSE))</f>
        <v>128000</v>
      </c>
      <c r="BK58">
        <f ca="1">IF(AND(ISNUMBER($BK$259),$B$185=1),$BK$259,HLOOKUP(INDIRECT(ADDRESS(2,COLUMN())),OFFSET($BN$2,0,0,ROW()-1,60),ROW()-1,FALSE))</f>
        <v>101000</v>
      </c>
      <c r="BL58">
        <f ca="1">IF(AND(ISNUMBER($BL$259),$B$185=1),$BL$259,HLOOKUP(INDIRECT(ADDRESS(2,COLUMN())),OFFSET($BN$2,0,0,ROW()-1,60),ROW()-1,FALSE))</f>
        <v>81000</v>
      </c>
      <c r="BM58" t="str">
        <f ca="1">IF(AND(ISNUMBER($BM$259),$B$185=1),$BM$259,HLOOKUP(INDIRECT(ADDRESS(2,COLUMN())),OFFSET($BN$2,0,0,ROW()-1,60),ROW()-1,FALSE))</f>
        <v/>
      </c>
      <c r="BN58">
        <f>5900</f>
        <v>5900</v>
      </c>
      <c r="BO58">
        <f>5500</f>
        <v>5500</v>
      </c>
      <c r="BP58">
        <f>5300</f>
        <v>5300</v>
      </c>
      <c r="BQ58" t="str">
        <f>""</f>
        <v/>
      </c>
      <c r="BR58">
        <f>4500</f>
        <v>4500</v>
      </c>
      <c r="BS58">
        <f>6400</f>
        <v>6400</v>
      </c>
      <c r="BT58">
        <f>7800</f>
        <v>7800</v>
      </c>
      <c r="BU58">
        <f>6600</f>
        <v>6600</v>
      </c>
      <c r="BV58">
        <f>14600</f>
        <v>14600</v>
      </c>
      <c r="BW58">
        <f>21500</f>
        <v>21500</v>
      </c>
      <c r="BX58">
        <f>34100</f>
        <v>34100</v>
      </c>
      <c r="BY58">
        <f>37900</f>
        <v>37900</v>
      </c>
      <c r="BZ58">
        <f>48100</f>
        <v>48100</v>
      </c>
      <c r="CA58">
        <f>51900</f>
        <v>51900</v>
      </c>
      <c r="CB58">
        <f>53200</f>
        <v>53200</v>
      </c>
      <c r="CC58">
        <f>51800</f>
        <v>51800</v>
      </c>
      <c r="CD58">
        <f>53900</f>
        <v>53900</v>
      </c>
      <c r="CE58">
        <f>62000</f>
        <v>62000</v>
      </c>
      <c r="CF58">
        <f>59000</f>
        <v>59000</v>
      </c>
      <c r="CG58">
        <f>48000</f>
        <v>48000</v>
      </c>
      <c r="CH58">
        <f>60000</f>
        <v>60000</v>
      </c>
      <c r="CI58">
        <f>58000</f>
        <v>58000</v>
      </c>
      <c r="CJ58">
        <f>53000</f>
        <v>53000</v>
      </c>
      <c r="CK58">
        <f>33000</f>
        <v>33000</v>
      </c>
      <c r="CL58">
        <f>38000</f>
        <v>38000</v>
      </c>
      <c r="CM58">
        <f>46000</f>
        <v>46000</v>
      </c>
      <c r="CN58">
        <f>50000</f>
        <v>50000</v>
      </c>
      <c r="CO58">
        <f>43000</f>
        <v>43000</v>
      </c>
      <c r="CP58">
        <f>53000</f>
        <v>53000</v>
      </c>
      <c r="CQ58">
        <f>59000</f>
        <v>59000</v>
      </c>
      <c r="CR58">
        <f>56000</f>
        <v>56000</v>
      </c>
      <c r="CS58">
        <f>44000</f>
        <v>44000</v>
      </c>
      <c r="CT58">
        <f>72000</f>
        <v>72000</v>
      </c>
      <c r="CU58">
        <f>70000</f>
        <v>70000</v>
      </c>
      <c r="CV58">
        <f>63000</f>
        <v>63000</v>
      </c>
      <c r="CW58">
        <f>44000</f>
        <v>44000</v>
      </c>
      <c r="CX58">
        <f>47000</f>
        <v>47000</v>
      </c>
      <c r="CY58">
        <f>55000</f>
        <v>55000</v>
      </c>
      <c r="CZ58">
        <f>62000</f>
        <v>62000</v>
      </c>
      <c r="DA58">
        <f>49000</f>
        <v>49000</v>
      </c>
      <c r="DB58">
        <f>44000</f>
        <v>44000</v>
      </c>
      <c r="DC58">
        <f>48000</f>
        <v>48000</v>
      </c>
      <c r="DD58">
        <f>47000</f>
        <v>47000</v>
      </c>
      <c r="DE58">
        <f>36000</f>
        <v>36000</v>
      </c>
      <c r="DF58">
        <f>50000</f>
        <v>50000</v>
      </c>
      <c r="DG58">
        <f>80000</f>
        <v>80000</v>
      </c>
      <c r="DH58">
        <f>112000</f>
        <v>112000</v>
      </c>
      <c r="DI58">
        <f>109000</f>
        <v>109000</v>
      </c>
      <c r="DJ58">
        <f>125000</f>
        <v>125000</v>
      </c>
      <c r="DK58">
        <f>139000</f>
        <v>139000</v>
      </c>
      <c r="DL58">
        <f>131000</f>
        <v>131000</v>
      </c>
      <c r="DM58">
        <f>129000</f>
        <v>129000</v>
      </c>
      <c r="DN58">
        <f>120000</f>
        <v>120000</v>
      </c>
      <c r="DO58">
        <f>89000</f>
        <v>89000</v>
      </c>
      <c r="DP58">
        <f>64000</f>
        <v>64000</v>
      </c>
      <c r="DQ58">
        <f>84000</f>
        <v>84000</v>
      </c>
      <c r="DR58">
        <f>128000</f>
        <v>128000</v>
      </c>
      <c r="DS58">
        <f>101000</f>
        <v>101000</v>
      </c>
      <c r="DT58">
        <f>81000</f>
        <v>81000</v>
      </c>
      <c r="DU58" t="str">
        <f>""</f>
        <v/>
      </c>
    </row>
    <row r="59" spans="1:125">
      <c r="A59" t="str">
        <f>"Residential Mortgage Servicing Portfolio"</f>
        <v>Residential Mortgage Servicing Portfolio</v>
      </c>
      <c r="B59" t="str">
        <f>""</f>
        <v/>
      </c>
      <c r="E59" t="str">
        <f>"Heading"</f>
        <v>Heading</v>
      </c>
      <c r="BN59" t="str">
        <f>""</f>
        <v/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  <c r="BT59" t="str">
        <f>""</f>
        <v/>
      </c>
      <c r="BU59" t="str">
        <f>""</f>
        <v/>
      </c>
      <c r="BV59" t="str">
        <f>""</f>
        <v/>
      </c>
      <c r="BW59" t="str">
        <f>""</f>
        <v/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  <c r="CI59" t="str">
        <f>""</f>
        <v/>
      </c>
      <c r="CJ59" t="str">
        <f>""</f>
        <v/>
      </c>
      <c r="CK59" t="str">
        <f>""</f>
        <v/>
      </c>
      <c r="CL59" t="str">
        <f>""</f>
        <v/>
      </c>
      <c r="CM59" t="str">
        <f>""</f>
        <v/>
      </c>
      <c r="CN59" t="str">
        <f>""</f>
        <v/>
      </c>
      <c r="CO59" t="str">
        <f>""</f>
        <v/>
      </c>
      <c r="CP59" t="str">
        <f>""</f>
        <v/>
      </c>
      <c r="CQ59" t="str">
        <f>""</f>
        <v/>
      </c>
      <c r="CR59" t="str">
        <f>""</f>
        <v/>
      </c>
      <c r="CS59" t="str">
        <f>""</f>
        <v/>
      </c>
      <c r="CT59" t="str">
        <f>""</f>
        <v/>
      </c>
      <c r="CU59" t="str">
        <f>""</f>
        <v/>
      </c>
      <c r="CV59" t="str">
        <f>""</f>
        <v/>
      </c>
      <c r="CW59" t="str">
        <f>""</f>
        <v/>
      </c>
      <c r="CX59" t="str">
        <f>""</f>
        <v/>
      </c>
      <c r="CY59" t="str">
        <f>""</f>
        <v/>
      </c>
      <c r="CZ59" t="str">
        <f>""</f>
        <v/>
      </c>
      <c r="DA59" t="str">
        <f>""</f>
        <v/>
      </c>
      <c r="DB59" t="str">
        <f>""</f>
        <v/>
      </c>
      <c r="DC59" t="str">
        <f>""</f>
        <v/>
      </c>
      <c r="DD59" t="str">
        <f>""</f>
        <v/>
      </c>
      <c r="DE59" t="str">
        <f>""</f>
        <v/>
      </c>
      <c r="DF59" t="str">
        <f>""</f>
        <v/>
      </c>
      <c r="DG59" t="str">
        <f>""</f>
        <v/>
      </c>
      <c r="DH59" t="str">
        <f>""</f>
        <v/>
      </c>
      <c r="DI59" t="str">
        <f>""</f>
        <v/>
      </c>
      <c r="DJ59" t="str">
        <f>""</f>
        <v/>
      </c>
      <c r="DK59" t="str">
        <f>""</f>
        <v/>
      </c>
      <c r="DL59" t="str">
        <f>""</f>
        <v/>
      </c>
      <c r="DM59" t="str">
        <f>""</f>
        <v/>
      </c>
      <c r="DN59" t="str">
        <f>""</f>
        <v/>
      </c>
      <c r="DO59" t="str">
        <f>""</f>
        <v/>
      </c>
      <c r="DP59" t="str">
        <f>""</f>
        <v/>
      </c>
      <c r="DQ59" t="str">
        <f>""</f>
        <v/>
      </c>
      <c r="DR59" t="str">
        <f>""</f>
        <v/>
      </c>
      <c r="DS59" t="str">
        <f>""</f>
        <v/>
      </c>
      <c r="DT59" t="str">
        <f>""</f>
        <v/>
      </c>
      <c r="DU59" t="str">
        <f>""</f>
        <v/>
      </c>
    </row>
    <row r="60" spans="1:125">
      <c r="A60" t="str">
        <f>"Residential Mortgage Servicing Portfolio"</f>
        <v>Residential Mortgage Servicing Portfolio</v>
      </c>
      <c r="B60" t="str">
        <f>""</f>
        <v/>
      </c>
      <c r="E60" t="str">
        <f>"Sum"</f>
        <v>Sum</v>
      </c>
      <c r="F60">
        <f ca="1">IF(ISERROR(IF(SUM($F$61:$F$81) = 0, "", SUM($F$61:$F$81))), "", (IF(SUM($F$61:$F$81) = 0, "", SUM($F$61:$F$81))))</f>
        <v>854637</v>
      </c>
      <c r="G60">
        <f ca="1">IF(ISERROR(IF(SUM($G$61:$G$81) = 0, "", SUM($G$61:$G$81))), "", (IF(SUM($G$61:$G$81) = 0, "", SUM($G$61:$G$81))))</f>
        <v>1125232</v>
      </c>
      <c r="H60">
        <f ca="1">IF(ISERROR(IF(SUM($H$61:$H$81) = 0, "", SUM($H$61:$H$81))), "", (IF(SUM($H$61:$H$81) = 0, "", SUM($H$61:$H$81))))</f>
        <v>1131453</v>
      </c>
      <c r="I60">
        <f ca="1">IF(ISERROR(IF(SUM($I$61:$I$81) = 0, "", SUM($I$61:$I$81))), "", (IF(SUM($I$61:$I$81) = 0, "", SUM($I$61:$I$81))))</f>
        <v>1160486</v>
      </c>
      <c r="J60">
        <f ca="1">IF(ISERROR(IF(SUM($J$61:$J$81) = 0, "", SUM($J$61:$J$81))), "", (IF(SUM($J$61:$J$81) = 0, "", SUM($J$61:$J$81))))</f>
        <v>929910</v>
      </c>
      <c r="K60">
        <f ca="1">IF(ISERROR(IF(SUM($K$61:$K$81) = 0, "", SUM($K$61:$K$81))), "", (IF(SUM($K$61:$K$81) = 0, "", SUM($K$61:$K$81))))</f>
        <v>1230521</v>
      </c>
      <c r="L60">
        <f ca="1">IF(ISERROR(IF(SUM($L$61:$L$81) = 0, "", SUM($L$61:$L$81))), "", (IF(SUM($L$61:$L$81) = 0, "", SUM($L$61:$L$81))))</f>
        <v>1286881</v>
      </c>
      <c r="M60">
        <f ca="1">IF(ISERROR(IF(SUM($M$61:$M$81) = 0, "", SUM($M$61:$M$81))), "", (IF(SUM($M$61:$M$81) = 0, "", SUM($M$61:$M$81))))</f>
        <v>1313722</v>
      </c>
      <c r="N60">
        <f ca="1">IF(ISERROR(IF(SUM($N$61:$N$81) = 0, "", SUM($N$61:$N$81))), "", (IF(SUM($N$61:$N$81) = 0, "", SUM($N$61:$N$81))))</f>
        <v>1331182</v>
      </c>
      <c r="O60">
        <f ca="1">IF(ISERROR(IF(SUM($O$61:$O$81) = 0, "", SUM($O$61:$O$81))), "", (IF(SUM($O$61:$O$81) = 0, "", SUM($O$61:$O$81))))</f>
        <v>1340222</v>
      </c>
      <c r="P60">
        <f ca="1">IF(ISERROR(IF(SUM($P$61:$P$81) = 0, "", SUM($P$61:$P$81))), "", (IF(SUM($P$61:$P$81) = 0, "", SUM($P$61:$P$81))))</f>
        <v>1336364</v>
      </c>
      <c r="Q60">
        <f ca="1">IF(ISERROR(IF(SUM($Q$61:$Q$81) = 0, "", SUM($Q$61:$Q$81))), "", (IF(SUM($Q$61:$Q$81) = 0, "", SUM($Q$61:$Q$81))))</f>
        <v>1322400</v>
      </c>
      <c r="R60">
        <f ca="1">IF(ISERROR(IF(SUM($R$61:$R$81) = 0, "", SUM($R$61:$R$81))), "", (IF(SUM($R$61:$R$81) = 0, "", SUM($R$61:$R$81))))</f>
        <v>1329961</v>
      </c>
      <c r="S60">
        <f ca="1">IF(ISERROR(IF(SUM($S$61:$S$81) = 0, "", SUM($S$61:$S$81))), "", (IF(SUM($S$61:$S$81) = 0, "", SUM($S$61:$S$81))))</f>
        <v>1362246</v>
      </c>
      <c r="T60">
        <f ca="1">IF(ISERROR(IF(SUM($T$61:$T$81) = 0, "", SUM($T$61:$T$81))), "", (IF(SUM($T$61:$T$81) = 0, "", SUM($T$61:$T$81))))</f>
        <v>1279128</v>
      </c>
      <c r="U60">
        <f ca="1">IF(ISERROR(IF(SUM($U$61:$U$81) = 0, "", SUM($U$61:$U$81))), "", (IF(SUM($U$61:$U$81) = 0, "", SUM($U$61:$U$81))))</f>
        <v>1400558</v>
      </c>
      <c r="V60">
        <f ca="1">IF(ISERROR(IF(SUM($V$61:$V$81) = 0, "", SUM($V$61:$V$81))), "", (IF(SUM($V$61:$V$81) = 0, "", SUM($V$61:$V$81))))</f>
        <v>1507634</v>
      </c>
      <c r="W60">
        <f ca="1">IF(ISERROR(IF(SUM($W$61:$W$81) = 0, "", SUM($W$61:$W$81))), "", (IF(SUM($W$61:$W$81) = 0, "", SUM($W$61:$W$81))))</f>
        <v>1606868</v>
      </c>
      <c r="X60">
        <f ca="1">IF(ISERROR(IF(SUM($X$61:$X$81) = 0, "", SUM($X$61:$X$81))), "", (IF(SUM($X$61:$X$81) = 0, "", SUM($X$61:$X$81))))</f>
        <v>1687835</v>
      </c>
      <c r="Y60">
        <f ca="1">IF(ISERROR(IF(SUM($Y$61:$Y$81) = 0, "", SUM($Y$61:$Y$81))), "", (IF(SUM($Y$61:$Y$81) = 0, "", SUM($Y$61:$Y$81))))</f>
        <v>1740205</v>
      </c>
      <c r="Z60">
        <f ca="1">IF(ISERROR(IF(SUM($Z$61:$Z$81) = 0, "", SUM($Z$61:$Z$81))), "", (IF(SUM($Z$61:$Z$81) = 0, "", SUM($Z$61:$Z$81))))</f>
        <v>1785958</v>
      </c>
      <c r="AA60">
        <f ca="1">IF(ISERROR(IF(SUM($AA$61:$AA$81) = 0, "", SUM($AA$61:$AA$81))), "", (IF(SUM($AA$61:$AA$81) = 0, "", SUM($AA$61:$AA$81))))</f>
        <v>1630971</v>
      </c>
      <c r="AB60">
        <f ca="1">IF(ISERROR(IF(SUM($AB$61:$AB$81) = 0, "", SUM($AB$61:$AB$81))), "", (IF(SUM($AB$61:$AB$81) = 0, "", SUM($AB$61:$AB$81))))</f>
        <v>1672312</v>
      </c>
      <c r="AC60">
        <f ca="1">IF(ISERROR(IF(SUM($AC$61:$AC$81) = 0, "", SUM($AC$61:$AC$81))), "", (IF(SUM($AC$61:$AC$81) = 0, "", SUM($AC$61:$AC$81))))</f>
        <v>1683880</v>
      </c>
      <c r="AD60">
        <f ca="1">IF(ISERROR(IF(SUM($AD$61:$AD$81) = 0, "", SUM($AD$61:$AD$81))), "", (IF(SUM($AD$61:$AD$81) = 0, "", SUM($AD$61:$AD$81))))</f>
        <v>199307</v>
      </c>
      <c r="AE60">
        <f ca="1">IF(ISERROR(IF(SUM($AE$61:$AE$81) = 0, "", SUM($AE$61:$AE$81))), "", (IF(SUM($AE$61:$AE$81) = 0, "", SUM($AE$61:$AE$81))))</f>
        <v>1709456</v>
      </c>
      <c r="AF60">
        <f ca="1">IF(ISERROR(IF(SUM($AF$61:$AF$81) = 0, "", SUM($AF$61:$AF$81))), "", (IF(SUM($AF$61:$AF$81) = 0, "", SUM($AF$61:$AF$81))))</f>
        <v>1714953</v>
      </c>
      <c r="AG60">
        <f ca="1">IF(ISERROR(IF(SUM($AG$61:$AG$81) = 0, "", SUM($AG$61:$AG$81))), "", (IF(SUM($AG$61:$AG$81) = 0, "", SUM($AG$61:$AG$81))))</f>
        <v>1738027</v>
      </c>
      <c r="AH60">
        <f ca="1">IF(ISERROR(IF(SUM($AH$61:$AH$81) = 0, "", SUM($AH$61:$AH$81))), "", (IF(SUM($AH$61:$AH$81) = 0, "", SUM($AH$61:$AH$81))))</f>
        <v>1748524</v>
      </c>
      <c r="AI60">
        <f ca="1">IF(ISERROR(IF(SUM($AI$61:$AI$81) = 0, "", SUM($AI$61:$AI$81))), "", (IF(SUM($AI$61:$AI$81) = 0, "", SUM($AI$61:$AI$81))))</f>
        <v>1761836</v>
      </c>
      <c r="AJ60">
        <f ca="1">IF(ISERROR(IF(SUM($AJ$61:$AJ$81) = 0, "", SUM($AJ$61:$AJ$81))), "", (IF(SUM($AJ$61:$AJ$81) = 0, "", SUM($AJ$61:$AJ$81))))</f>
        <v>1734173</v>
      </c>
      <c r="AK60">
        <f ca="1">IF(ISERROR(IF(SUM($AK$61:$AK$81) = 0, "", SUM($AK$61:$AK$81))), "", (IF(SUM($AK$61:$AK$81) = 0, "", SUM($AK$61:$AK$81))))</f>
        <v>1735651</v>
      </c>
      <c r="AL60">
        <f ca="1">IF(ISERROR(IF(SUM($AL$61:$AL$81) = 0, "", SUM($AL$61:$AL$81))), "", (IF(SUM($AL$61:$AL$81) = 0, "", SUM($AL$61:$AL$81))))</f>
        <v>1750939</v>
      </c>
      <c r="AM60">
        <f ca="1">IF(ISERROR(IF(SUM($AM$61:$AM$81) = 0, "", SUM($AM$61:$AM$81))), "", (IF(SUM($AM$61:$AM$81) = 0, "", SUM($AM$61:$AM$81))))</f>
        <v>1774660</v>
      </c>
      <c r="AN60">
        <f ca="1">IF(ISERROR(IF(SUM($AN$61:$AN$81) = 0, "", SUM($AN$61:$AN$81))), "", (IF(SUM($AN$61:$AN$81) = 0, "", SUM($AN$61:$AN$81))))</f>
        <v>1796917</v>
      </c>
      <c r="AO60">
        <f ca="1">IF(ISERROR(IF(SUM($AO$61:$AO$81) = 0, "", SUM($AO$61:$AO$81))), "", (IF(SUM($AO$61:$AO$81) = 0, "", SUM($AO$61:$AO$81))))</f>
        <v>1819803</v>
      </c>
      <c r="AP60">
        <f ca="1">IF(ISERROR(IF(SUM($AP$61:$AP$81) = 0, "", SUM($AP$61:$AP$81))), "", (IF(SUM($AP$61:$AP$81) = 0, "", SUM($AP$61:$AP$81))))</f>
        <v>1844569.8370000001</v>
      </c>
      <c r="AQ60">
        <f ca="1">IF(ISERROR(IF(SUM($AQ$61:$AQ$81) = 0, "", SUM($AQ$61:$AQ$81))), "", (IF(SUM($AQ$61:$AQ$81) = 0, "", SUM($AQ$61:$AQ$81))))</f>
        <v>1871018</v>
      </c>
      <c r="AR60">
        <f ca="1">IF(ISERROR(IF(SUM($AR$61:$AR$81) = 0, "", SUM($AR$61:$AR$81))), "", (IF(SUM($AR$61:$AR$81) = 0, "", SUM($AR$61:$AR$81))))</f>
        <v>1878889.922</v>
      </c>
      <c r="AS60">
        <f ca="1">IF(ISERROR(IF(SUM($AS$61:$AS$81) = 0, "", SUM($AS$61:$AS$81))), "", (IF(SUM($AS$61:$AS$81) = 0, "", SUM($AS$61:$AS$81))))</f>
        <v>1845122.4</v>
      </c>
      <c r="AT60">
        <f ca="1">IF(ISERROR(IF(SUM($AT$61:$AT$81) = 0, "", SUM($AT$61:$AT$81))), "", (IF(SUM($AT$61:$AT$81) = 0, "", SUM($AT$61:$AT$81))))</f>
        <v>1953258.013</v>
      </c>
      <c r="AU60">
        <f ca="1">IF(ISERROR(IF(SUM($AU$61:$AU$81) = 0, "", SUM($AU$61:$AU$81))), "", (IF(SUM($AU$61:$AU$81) = 0, "", SUM($AU$61:$AU$81))))</f>
        <v>1974614</v>
      </c>
      <c r="AV60">
        <f ca="1">IF(ISERROR(IF(SUM($AV$61:$AV$81) = 0, "", SUM($AV$61:$AV$81))), "", (IF(SUM($AV$61:$AV$81) = 0, "", SUM($AV$61:$AV$81))))</f>
        <v>2001050.456</v>
      </c>
      <c r="AW60">
        <f ca="1">IF(ISERROR(IF(SUM($AW$61:$AW$81) = 0, "", SUM($AW$61:$AW$81))), "", (IF(SUM($AW$61:$AW$81) = 0, "", SUM($AW$61:$AW$81))))</f>
        <v>2017821</v>
      </c>
      <c r="AX60">
        <f ca="1">IF(ISERROR(IF(SUM($AX$61:$AX$81) = 0, "", SUM($AX$61:$AX$81))), "", (IF(SUM($AX$61:$AX$81) = 0, "", SUM($AX$61:$AX$81))))</f>
        <v>2167043.5120000001</v>
      </c>
      <c r="AY60">
        <f ca="1">IF(ISERROR(IF(SUM($AY$61:$AY$81) = 0, "", SUM($AY$61:$AY$81))), "", (IF(SUM($AY$61:$AY$81) = 0, "", SUM($AY$61:$AY$81))))</f>
        <v>2051391</v>
      </c>
      <c r="AZ60">
        <f ca="1">IF(ISERROR(IF(SUM($AZ$61:$AZ$81) = 0, "", SUM($AZ$61:$AZ$81))), "", (IF(SUM($AZ$61:$AZ$81) = 0, "", SUM($AZ$61:$AZ$81))))</f>
        <v>2055782</v>
      </c>
      <c r="BA60">
        <f ca="1">IF(ISERROR(IF(SUM($BA$61:$BA$81) = 0, "", SUM($BA$61:$BA$81))), "", (IF(SUM($BA$61:$BA$81) = 0, "", SUM($BA$61:$BA$81))))</f>
        <v>2060347</v>
      </c>
      <c r="BB60">
        <f ca="1">IF(ISERROR(IF(SUM($BB$61:$BB$81) = 0, "", SUM($BB$61:$BB$81))), "", (IF(SUM($BB$61:$BB$81) = 0, "", SUM($BB$61:$BB$81))))</f>
        <v>2229257</v>
      </c>
      <c r="BC60">
        <f ca="1">IF(ISERROR(IF(SUM($BC$61:$BC$81) = 0, "", SUM($BC$61:$BC$81))), "", (IF(SUM($BC$61:$BC$81) = 0, "", SUM($BC$61:$BC$81))))</f>
        <v>2071973</v>
      </c>
      <c r="BD60">
        <f ca="1">IF(ISERROR(IF(SUM($BD$61:$BD$81) = 0, "", SUM($BD$61:$BD$81))), "", (IF(SUM($BD$61:$BD$81) = 0, "", SUM($BD$61:$BD$81))))</f>
        <v>2055691</v>
      </c>
      <c r="BE60">
        <f ca="1">IF(ISERROR(IF(SUM($BE$61:$BE$81) = 0, "", SUM($BE$61:$BE$81))), "", (IF(SUM($BE$61:$BE$81) = 0, "", SUM($BE$61:$BE$81))))</f>
        <v>2029136</v>
      </c>
      <c r="BF60">
        <f ca="1">IF(ISERROR(IF(SUM($BF$61:$BF$81) = 0, "", SUM($BF$61:$BF$81))), "", (IF(SUM($BF$61:$BF$81) = 0, "", SUM($BF$61:$BF$81))))</f>
        <v>2177416.7999999998</v>
      </c>
      <c r="BG60">
        <f ca="1">IF(ISERROR(IF(SUM($BG$61:$BG$81) = 0, "", SUM($BG$61:$BG$81))), "", (IF(SUM($BG$61:$BG$81) = 0, "", SUM($BG$61:$BG$81))))</f>
        <v>1994768</v>
      </c>
      <c r="BH60">
        <f ca="1">IF(ISERROR(IF(SUM($BH$61:$BH$81) = 0, "", SUM($BH$61:$BH$81))), "", (IF(SUM($BH$61:$BH$81) = 0, "", SUM($BH$61:$BH$81))))</f>
        <v>1988851</v>
      </c>
      <c r="BI60">
        <f ca="1">IF(ISERROR(IF(SUM($BI$61:$BI$81) = 0, "", SUM($BI$61:$BI$81))), "", (IF(SUM($BI$61:$BI$81) = 0, "", SUM($BI$61:$BI$81))))</f>
        <v>1986617</v>
      </c>
      <c r="BJ60">
        <f ca="1">IF(ISERROR(IF(SUM($BJ$61:$BJ$81) = 0, "", SUM($BJ$61:$BJ$81))), "", (IF(SUM($BJ$61:$BJ$81) = 0, "", SUM($BJ$61:$BJ$81))))</f>
        <v>2163658.7999999998</v>
      </c>
      <c r="BK60">
        <f ca="1">IF(ISERROR(IF(SUM($BK$61:$BK$81) = 0, "", SUM($BK$61:$BK$81))), "", (IF(SUM($BK$61:$BK$81) = 0, "", SUM($BK$61:$BK$81))))</f>
        <v>1980661</v>
      </c>
      <c r="BL60">
        <f ca="1">IF(ISERROR(IF(SUM($BL$61:$BL$81) = 0, "", SUM($BL$61:$BL$81))), "", (IF(SUM($BL$61:$BL$81) = 0, "", SUM($BL$61:$BL$81))))</f>
        <v>1982850</v>
      </c>
      <c r="BM60" t="str">
        <f ca="1">IF(ISERROR(IF(SUM($BM$61:$BM$81) = 0, "", SUM($BM$61:$BM$81))), "", (IF(SUM($BM$61:$BM$81) = 0, "", SUM($BM$61:$BM$81))))</f>
        <v/>
      </c>
      <c r="BN60">
        <f>854637</f>
        <v>854637</v>
      </c>
      <c r="BO60">
        <f>1125232</f>
        <v>1125232</v>
      </c>
      <c r="BP60">
        <f>1131453</f>
        <v>1131453</v>
      </c>
      <c r="BQ60">
        <f>1160486</f>
        <v>1160486</v>
      </c>
      <c r="BR60">
        <f>929910</f>
        <v>929910</v>
      </c>
      <c r="BS60">
        <f>1230521</f>
        <v>1230521</v>
      </c>
      <c r="BT60">
        <f>1286881</f>
        <v>1286881</v>
      </c>
      <c r="BU60">
        <f>1313722</f>
        <v>1313722</v>
      </c>
      <c r="BV60">
        <f>1331182</f>
        <v>1331182</v>
      </c>
      <c r="BW60">
        <f>1340222</f>
        <v>1340222</v>
      </c>
      <c r="BX60">
        <f>1336364</f>
        <v>1336364</v>
      </c>
      <c r="BY60">
        <f>1322400</f>
        <v>1322400</v>
      </c>
      <c r="BZ60">
        <f>1329961</f>
        <v>1329961</v>
      </c>
      <c r="CA60">
        <f>1362246</f>
        <v>1362246</v>
      </c>
      <c r="CB60">
        <f>1279128</f>
        <v>1279128</v>
      </c>
      <c r="CC60">
        <f>1400558</f>
        <v>1400558</v>
      </c>
      <c r="CD60">
        <f>1507634</f>
        <v>1507634</v>
      </c>
      <c r="CE60">
        <f>1606868</f>
        <v>1606868</v>
      </c>
      <c r="CF60">
        <f>1687835</f>
        <v>1687835</v>
      </c>
      <c r="CG60">
        <f>1740205</f>
        <v>1740205</v>
      </c>
      <c r="CH60">
        <f>1785958</f>
        <v>1785958</v>
      </c>
      <c r="CI60">
        <f>1630971</f>
        <v>1630971</v>
      </c>
      <c r="CJ60">
        <f>1672312</f>
        <v>1672312</v>
      </c>
      <c r="CK60">
        <f>1683880</f>
        <v>1683880</v>
      </c>
      <c r="CL60">
        <f>199307</f>
        <v>199307</v>
      </c>
      <c r="CM60">
        <f>1709456</f>
        <v>1709456</v>
      </c>
      <c r="CN60">
        <f>1714953</f>
        <v>1714953</v>
      </c>
      <c r="CO60">
        <f>1738027</f>
        <v>1738027</v>
      </c>
      <c r="CP60">
        <f>1748524</f>
        <v>1748524</v>
      </c>
      <c r="CQ60">
        <f>1761836</f>
        <v>1761836</v>
      </c>
      <c r="CR60">
        <f>1734173</f>
        <v>1734173</v>
      </c>
      <c r="CS60">
        <f>1735651</f>
        <v>1735651</v>
      </c>
      <c r="CT60">
        <f>1750939</f>
        <v>1750939</v>
      </c>
      <c r="CU60">
        <f>1774660</f>
        <v>1774660</v>
      </c>
      <c r="CV60">
        <f>1796917</f>
        <v>1796917</v>
      </c>
      <c r="CW60">
        <f>1819803</f>
        <v>1819803</v>
      </c>
      <c r="CX60">
        <f>1844569.837</f>
        <v>1844569.8370000001</v>
      </c>
      <c r="CY60">
        <f>1871018</f>
        <v>1871018</v>
      </c>
      <c r="CZ60">
        <f>1878889.922</f>
        <v>1878889.922</v>
      </c>
      <c r="DA60">
        <f>1845122.4</f>
        <v>1845122.4</v>
      </c>
      <c r="DB60">
        <f>1953258.013</f>
        <v>1953258.013</v>
      </c>
      <c r="DC60">
        <f>1974614</f>
        <v>1974614</v>
      </c>
      <c r="DD60">
        <f>2001050.456</f>
        <v>2001050.456</v>
      </c>
      <c r="DE60">
        <f>2017821</f>
        <v>2017821</v>
      </c>
      <c r="DF60">
        <f>2167043.512</f>
        <v>2167043.5120000001</v>
      </c>
      <c r="DG60">
        <f>2051391</f>
        <v>2051391</v>
      </c>
      <c r="DH60">
        <f>2055782</f>
        <v>2055782</v>
      </c>
      <c r="DI60">
        <f>2060347</f>
        <v>2060347</v>
      </c>
      <c r="DJ60">
        <f>2229257</f>
        <v>2229257</v>
      </c>
      <c r="DK60">
        <f>2071973</f>
        <v>2071973</v>
      </c>
      <c r="DL60">
        <f>2055691</f>
        <v>2055691</v>
      </c>
      <c r="DM60">
        <f>2029136</f>
        <v>2029136</v>
      </c>
      <c r="DN60">
        <f>2177416.8</f>
        <v>2177416.7999999998</v>
      </c>
      <c r="DO60">
        <f>1994768</f>
        <v>1994768</v>
      </c>
      <c r="DP60">
        <f>1988851</f>
        <v>1988851</v>
      </c>
      <c r="DQ60">
        <f>1986617</f>
        <v>1986617</v>
      </c>
      <c r="DR60">
        <f>2163658.8</f>
        <v>2163658.7999999998</v>
      </c>
      <c r="DS60">
        <f>1980661</f>
        <v>1980661</v>
      </c>
      <c r="DT60">
        <f>1982850</f>
        <v>1982850</v>
      </c>
      <c r="DU60" t="str">
        <f>""</f>
        <v/>
      </c>
    </row>
    <row r="61" spans="1:125">
      <c r="A61" t="str">
        <f>"    Bank OZK"</f>
        <v xml:space="preserve">    Bank OZK</v>
      </c>
      <c r="B61" t="str">
        <f>"OZK US Equity"</f>
        <v>OZK US Equity</v>
      </c>
      <c r="C61" t="str">
        <f t="shared" ref="C61:C81" si="7">"BS962"</f>
        <v>BS962</v>
      </c>
      <c r="D61" t="str">
        <f t="shared" ref="D61:D81" si="8">"BS_RSD_MTG_SRVC_PORTFOLIO"</f>
        <v>BS_RSD_MTG_SRVC_PORTFOLIO</v>
      </c>
      <c r="E61" t="str">
        <f t="shared" ref="E61:E81" si="9">"Dynamic"</f>
        <v>Dynamic</v>
      </c>
      <c r="F61" t="str">
        <f ca="1">IF(AND(ISNUMBER($F$260),$B$185=1),$F$260,HLOOKUP(INDIRECT(ADDRESS(2,COLUMN())),OFFSET($BN$2,0,0,ROW()-1,60),ROW()-1,FALSE))</f>
        <v/>
      </c>
      <c r="G61" t="str">
        <f ca="1">IF(AND(ISNUMBER($G$260),$B$185=1),$G$260,HLOOKUP(INDIRECT(ADDRESS(2,COLUMN())),OFFSET($BN$2,0,0,ROW()-1,60),ROW()-1,FALSE))</f>
        <v/>
      </c>
      <c r="H61" t="str">
        <f ca="1">IF(AND(ISNUMBER($H$260),$B$185=1),$H$260,HLOOKUP(INDIRECT(ADDRESS(2,COLUMN())),OFFSET($BN$2,0,0,ROW()-1,60),ROW()-1,FALSE))</f>
        <v/>
      </c>
      <c r="I61" t="str">
        <f ca="1">IF(AND(ISNUMBER($I$260),$B$185=1),$I$260,HLOOKUP(INDIRECT(ADDRESS(2,COLUMN())),OFFSET($BN$2,0,0,ROW()-1,60),ROW()-1,FALSE))</f>
        <v/>
      </c>
      <c r="J61" t="str">
        <f ca="1">IF(AND(ISNUMBER($J$260),$B$185=1),$J$260,HLOOKUP(INDIRECT(ADDRESS(2,COLUMN())),OFFSET($BN$2,0,0,ROW()-1,60),ROW()-1,FALSE))</f>
        <v/>
      </c>
      <c r="K61" t="str">
        <f ca="1">IF(AND(ISNUMBER($K$260),$B$185=1),$K$260,HLOOKUP(INDIRECT(ADDRESS(2,COLUMN())),OFFSET($BN$2,0,0,ROW()-1,60),ROW()-1,FALSE))</f>
        <v/>
      </c>
      <c r="L61" t="str">
        <f ca="1">IF(AND(ISNUMBER($L$260),$B$185=1),$L$260,HLOOKUP(INDIRECT(ADDRESS(2,COLUMN())),OFFSET($BN$2,0,0,ROW()-1,60),ROW()-1,FALSE))</f>
        <v/>
      </c>
      <c r="M61" t="str">
        <f ca="1">IF(AND(ISNUMBER($M$260),$B$185=1),$M$260,HLOOKUP(INDIRECT(ADDRESS(2,COLUMN())),OFFSET($BN$2,0,0,ROW()-1,60),ROW()-1,FALSE))</f>
        <v/>
      </c>
      <c r="N61" t="str">
        <f ca="1">IF(AND(ISNUMBER($N$260),$B$185=1),$N$260,HLOOKUP(INDIRECT(ADDRESS(2,COLUMN())),OFFSET($BN$2,0,0,ROW()-1,60),ROW()-1,FALSE))</f>
        <v/>
      </c>
      <c r="O61" t="str">
        <f ca="1">IF(AND(ISNUMBER($O$260),$B$185=1),$O$260,HLOOKUP(INDIRECT(ADDRESS(2,COLUMN())),OFFSET($BN$2,0,0,ROW()-1,60),ROW()-1,FALSE))</f>
        <v/>
      </c>
      <c r="P61" t="str">
        <f ca="1">IF(AND(ISNUMBER($P$260),$B$185=1),$P$260,HLOOKUP(INDIRECT(ADDRESS(2,COLUMN())),OFFSET($BN$2,0,0,ROW()-1,60),ROW()-1,FALSE))</f>
        <v/>
      </c>
      <c r="Q61" t="str">
        <f ca="1">IF(AND(ISNUMBER($Q$260),$B$185=1),$Q$260,HLOOKUP(INDIRECT(ADDRESS(2,COLUMN())),OFFSET($BN$2,0,0,ROW()-1,60),ROW()-1,FALSE))</f>
        <v/>
      </c>
      <c r="R61" t="str">
        <f ca="1">IF(AND(ISNUMBER($R$260),$B$185=1),$R$260,HLOOKUP(INDIRECT(ADDRESS(2,COLUMN())),OFFSET($BN$2,0,0,ROW()-1,60),ROW()-1,FALSE))</f>
        <v/>
      </c>
      <c r="S61" t="str">
        <f ca="1">IF(AND(ISNUMBER($S$260),$B$185=1),$S$260,HLOOKUP(INDIRECT(ADDRESS(2,COLUMN())),OFFSET($BN$2,0,0,ROW()-1,60),ROW()-1,FALSE))</f>
        <v/>
      </c>
      <c r="T61" t="str">
        <f ca="1">IF(AND(ISNUMBER($T$260),$B$185=1),$T$260,HLOOKUP(INDIRECT(ADDRESS(2,COLUMN())),OFFSET($BN$2,0,0,ROW()-1,60),ROW()-1,FALSE))</f>
        <v/>
      </c>
      <c r="U61" t="str">
        <f ca="1">IF(AND(ISNUMBER($U$260),$B$185=1),$U$260,HLOOKUP(INDIRECT(ADDRESS(2,COLUMN())),OFFSET($BN$2,0,0,ROW()-1,60),ROW()-1,FALSE))</f>
        <v/>
      </c>
      <c r="V61" t="str">
        <f ca="1">IF(AND(ISNUMBER($V$260),$B$185=1),$V$260,HLOOKUP(INDIRECT(ADDRESS(2,COLUMN())),OFFSET($BN$2,0,0,ROW()-1,60),ROW()-1,FALSE))</f>
        <v/>
      </c>
      <c r="W61" t="str">
        <f ca="1">IF(AND(ISNUMBER($W$260),$B$185=1),$W$260,HLOOKUP(INDIRECT(ADDRESS(2,COLUMN())),OFFSET($BN$2,0,0,ROW()-1,60),ROW()-1,FALSE))</f>
        <v/>
      </c>
      <c r="X61" t="str">
        <f ca="1">IF(AND(ISNUMBER($X$260),$B$185=1),$X$260,HLOOKUP(INDIRECT(ADDRESS(2,COLUMN())),OFFSET($BN$2,0,0,ROW()-1,60),ROW()-1,FALSE))</f>
        <v/>
      </c>
      <c r="Y61" t="str">
        <f ca="1">IF(AND(ISNUMBER($Y$260),$B$185=1),$Y$260,HLOOKUP(INDIRECT(ADDRESS(2,COLUMN())),OFFSET($BN$2,0,0,ROW()-1,60),ROW()-1,FALSE))</f>
        <v/>
      </c>
      <c r="Z61" t="str">
        <f ca="1">IF(AND(ISNUMBER($Z$260),$B$185=1),$Z$260,HLOOKUP(INDIRECT(ADDRESS(2,COLUMN())),OFFSET($BN$2,0,0,ROW()-1,60),ROW()-1,FALSE))</f>
        <v/>
      </c>
      <c r="AA61" t="str">
        <f ca="1">IF(AND(ISNUMBER($AA$260),$B$185=1),$AA$260,HLOOKUP(INDIRECT(ADDRESS(2,COLUMN())),OFFSET($BN$2,0,0,ROW()-1,60),ROW()-1,FALSE))</f>
        <v/>
      </c>
      <c r="AB61" t="str">
        <f ca="1">IF(AND(ISNUMBER($AB$260),$B$185=1),$AB$260,HLOOKUP(INDIRECT(ADDRESS(2,COLUMN())),OFFSET($BN$2,0,0,ROW()-1,60),ROW()-1,FALSE))</f>
        <v/>
      </c>
      <c r="AC61" t="str">
        <f ca="1">IF(AND(ISNUMBER($AC$260),$B$185=1),$AC$260,HLOOKUP(INDIRECT(ADDRESS(2,COLUMN())),OFFSET($BN$2,0,0,ROW()-1,60),ROW()-1,FALSE))</f>
        <v/>
      </c>
      <c r="AD61" t="str">
        <f ca="1">IF(AND(ISNUMBER($AD$260),$B$185=1),$AD$260,HLOOKUP(INDIRECT(ADDRESS(2,COLUMN())),OFFSET($BN$2,0,0,ROW()-1,60),ROW()-1,FALSE))</f>
        <v/>
      </c>
      <c r="AE61" t="str">
        <f ca="1">IF(AND(ISNUMBER($AE$260),$B$185=1),$AE$260,HLOOKUP(INDIRECT(ADDRESS(2,COLUMN())),OFFSET($BN$2,0,0,ROW()-1,60),ROW()-1,FALSE))</f>
        <v/>
      </c>
      <c r="AF61" t="str">
        <f ca="1">IF(AND(ISNUMBER($AF$260),$B$185=1),$AF$260,HLOOKUP(INDIRECT(ADDRESS(2,COLUMN())),OFFSET($BN$2,0,0,ROW()-1,60),ROW()-1,FALSE))</f>
        <v/>
      </c>
      <c r="AG61" t="str">
        <f ca="1">IF(AND(ISNUMBER($AG$260),$B$185=1),$AG$260,HLOOKUP(INDIRECT(ADDRESS(2,COLUMN())),OFFSET($BN$2,0,0,ROW()-1,60),ROW()-1,FALSE))</f>
        <v/>
      </c>
      <c r="AH61" t="str">
        <f ca="1">IF(AND(ISNUMBER($AH$260),$B$185=1),$AH$260,HLOOKUP(INDIRECT(ADDRESS(2,COLUMN())),OFFSET($BN$2,0,0,ROW()-1,60),ROW()-1,FALSE))</f>
        <v/>
      </c>
      <c r="AI61" t="str">
        <f ca="1">IF(AND(ISNUMBER($AI$260),$B$185=1),$AI$260,HLOOKUP(INDIRECT(ADDRESS(2,COLUMN())),OFFSET($BN$2,0,0,ROW()-1,60),ROW()-1,FALSE))</f>
        <v/>
      </c>
      <c r="AJ61" t="str">
        <f ca="1">IF(AND(ISNUMBER($AJ$260),$B$185=1),$AJ$260,HLOOKUP(INDIRECT(ADDRESS(2,COLUMN())),OFFSET($BN$2,0,0,ROW()-1,60),ROW()-1,FALSE))</f>
        <v/>
      </c>
      <c r="AK61" t="str">
        <f ca="1">IF(AND(ISNUMBER($AK$260),$B$185=1),$AK$260,HLOOKUP(INDIRECT(ADDRESS(2,COLUMN())),OFFSET($BN$2,0,0,ROW()-1,60),ROW()-1,FALSE))</f>
        <v/>
      </c>
      <c r="AL61" t="str">
        <f ca="1">IF(AND(ISNUMBER($AL$260),$B$185=1),$AL$260,HLOOKUP(INDIRECT(ADDRESS(2,COLUMN())),OFFSET($BN$2,0,0,ROW()-1,60),ROW()-1,FALSE))</f>
        <v/>
      </c>
      <c r="AM61" t="str">
        <f ca="1">IF(AND(ISNUMBER($AM$260),$B$185=1),$AM$260,HLOOKUP(INDIRECT(ADDRESS(2,COLUMN())),OFFSET($BN$2,0,0,ROW()-1,60),ROW()-1,FALSE))</f>
        <v/>
      </c>
      <c r="AN61" t="str">
        <f ca="1">IF(AND(ISNUMBER($AN$260),$B$185=1),$AN$260,HLOOKUP(INDIRECT(ADDRESS(2,COLUMN())),OFFSET($BN$2,0,0,ROW()-1,60),ROW()-1,FALSE))</f>
        <v/>
      </c>
      <c r="AO61" t="str">
        <f ca="1">IF(AND(ISNUMBER($AO$260),$B$185=1),$AO$260,HLOOKUP(INDIRECT(ADDRESS(2,COLUMN())),OFFSET($BN$2,0,0,ROW()-1,60),ROW()-1,FALSE))</f>
        <v/>
      </c>
      <c r="AP61" t="str">
        <f ca="1">IF(AND(ISNUMBER($AP$260),$B$185=1),$AP$260,HLOOKUP(INDIRECT(ADDRESS(2,COLUMN())),OFFSET($BN$2,0,0,ROW()-1,60),ROW()-1,FALSE))</f>
        <v/>
      </c>
      <c r="AQ61" t="str">
        <f ca="1">IF(AND(ISNUMBER($AQ$260),$B$185=1),$AQ$260,HLOOKUP(INDIRECT(ADDRESS(2,COLUMN())),OFFSET($BN$2,0,0,ROW()-1,60),ROW()-1,FALSE))</f>
        <v/>
      </c>
      <c r="AR61" t="str">
        <f ca="1">IF(AND(ISNUMBER($AR$260),$B$185=1),$AR$260,HLOOKUP(INDIRECT(ADDRESS(2,COLUMN())),OFFSET($BN$2,0,0,ROW()-1,60),ROW()-1,FALSE))</f>
        <v/>
      </c>
      <c r="AS61" t="str">
        <f ca="1">IF(AND(ISNUMBER($AS$260),$B$185=1),$AS$260,HLOOKUP(INDIRECT(ADDRESS(2,COLUMN())),OFFSET($BN$2,0,0,ROW()-1,60),ROW()-1,FALSE))</f>
        <v/>
      </c>
      <c r="AT61" t="str">
        <f ca="1">IF(AND(ISNUMBER($AT$260),$B$185=1),$AT$260,HLOOKUP(INDIRECT(ADDRESS(2,COLUMN())),OFFSET($BN$2,0,0,ROW()-1,60),ROW()-1,FALSE))</f>
        <v/>
      </c>
      <c r="AU61" t="str">
        <f ca="1">IF(AND(ISNUMBER($AU$260),$B$185=1),$AU$260,HLOOKUP(INDIRECT(ADDRESS(2,COLUMN())),OFFSET($BN$2,0,0,ROW()-1,60),ROW()-1,FALSE))</f>
        <v/>
      </c>
      <c r="AV61" t="str">
        <f ca="1">IF(AND(ISNUMBER($AV$260),$B$185=1),$AV$260,HLOOKUP(INDIRECT(ADDRESS(2,COLUMN())),OFFSET($BN$2,0,0,ROW()-1,60),ROW()-1,FALSE))</f>
        <v/>
      </c>
      <c r="AW61" t="str">
        <f ca="1">IF(AND(ISNUMBER($AW$260),$B$185=1),$AW$260,HLOOKUP(INDIRECT(ADDRESS(2,COLUMN())),OFFSET($BN$2,0,0,ROW()-1,60),ROW()-1,FALSE))</f>
        <v/>
      </c>
      <c r="AX61" t="str">
        <f ca="1">IF(AND(ISNUMBER($AX$260),$B$185=1),$AX$260,HLOOKUP(INDIRECT(ADDRESS(2,COLUMN())),OFFSET($BN$2,0,0,ROW()-1,60),ROW()-1,FALSE))</f>
        <v/>
      </c>
      <c r="AY61" t="str">
        <f ca="1">IF(AND(ISNUMBER($AY$260),$B$185=1),$AY$260,HLOOKUP(INDIRECT(ADDRESS(2,COLUMN())),OFFSET($BN$2,0,0,ROW()-1,60),ROW()-1,FALSE))</f>
        <v/>
      </c>
      <c r="AZ61" t="str">
        <f ca="1">IF(AND(ISNUMBER($AZ$260),$B$185=1),$AZ$260,HLOOKUP(INDIRECT(ADDRESS(2,COLUMN())),OFFSET($BN$2,0,0,ROW()-1,60),ROW()-1,FALSE))</f>
        <v/>
      </c>
      <c r="BA61" t="str">
        <f ca="1">IF(AND(ISNUMBER($BA$260),$B$185=1),$BA$260,HLOOKUP(INDIRECT(ADDRESS(2,COLUMN())),OFFSET($BN$2,0,0,ROW()-1,60),ROW()-1,FALSE))</f>
        <v/>
      </c>
      <c r="BB61" t="str">
        <f ca="1">IF(AND(ISNUMBER($BB$260),$B$185=1),$BB$260,HLOOKUP(INDIRECT(ADDRESS(2,COLUMN())),OFFSET($BN$2,0,0,ROW()-1,60),ROW()-1,FALSE))</f>
        <v/>
      </c>
      <c r="BC61" t="str">
        <f ca="1">IF(AND(ISNUMBER($BC$260),$B$185=1),$BC$260,HLOOKUP(INDIRECT(ADDRESS(2,COLUMN())),OFFSET($BN$2,0,0,ROW()-1,60),ROW()-1,FALSE))</f>
        <v/>
      </c>
      <c r="BD61" t="str">
        <f ca="1">IF(AND(ISNUMBER($BD$260),$B$185=1),$BD$260,HLOOKUP(INDIRECT(ADDRESS(2,COLUMN())),OFFSET($BN$2,0,0,ROW()-1,60),ROW()-1,FALSE))</f>
        <v/>
      </c>
      <c r="BE61" t="str">
        <f ca="1">IF(AND(ISNUMBER($BE$260),$B$185=1),$BE$260,HLOOKUP(INDIRECT(ADDRESS(2,COLUMN())),OFFSET($BN$2,0,0,ROW()-1,60),ROW()-1,FALSE))</f>
        <v/>
      </c>
      <c r="BF61" t="str">
        <f ca="1">IF(AND(ISNUMBER($BF$260),$B$185=1),$BF$260,HLOOKUP(INDIRECT(ADDRESS(2,COLUMN())),OFFSET($BN$2,0,0,ROW()-1,60),ROW()-1,FALSE))</f>
        <v/>
      </c>
      <c r="BG61" t="str">
        <f ca="1">IF(AND(ISNUMBER($BG$260),$B$185=1),$BG$260,HLOOKUP(INDIRECT(ADDRESS(2,COLUMN())),OFFSET($BN$2,0,0,ROW()-1,60),ROW()-1,FALSE))</f>
        <v/>
      </c>
      <c r="BH61" t="str">
        <f ca="1">IF(AND(ISNUMBER($BH$260),$B$185=1),$BH$260,HLOOKUP(INDIRECT(ADDRESS(2,COLUMN())),OFFSET($BN$2,0,0,ROW()-1,60),ROW()-1,FALSE))</f>
        <v/>
      </c>
      <c r="BI61" t="str">
        <f ca="1">IF(AND(ISNUMBER($BI$260),$B$185=1),$BI$260,HLOOKUP(INDIRECT(ADDRESS(2,COLUMN())),OFFSET($BN$2,0,0,ROW()-1,60),ROW()-1,FALSE))</f>
        <v/>
      </c>
      <c r="BJ61" t="str">
        <f ca="1">IF(AND(ISNUMBER($BJ$260),$B$185=1),$BJ$260,HLOOKUP(INDIRECT(ADDRESS(2,COLUMN())),OFFSET($BN$2,0,0,ROW()-1,60),ROW()-1,FALSE))</f>
        <v/>
      </c>
      <c r="BK61" t="str">
        <f ca="1">IF(AND(ISNUMBER($BK$260),$B$185=1),$BK$260,HLOOKUP(INDIRECT(ADDRESS(2,COLUMN())),OFFSET($BN$2,0,0,ROW()-1,60),ROW()-1,FALSE))</f>
        <v/>
      </c>
      <c r="BL61" t="str">
        <f ca="1">IF(AND(ISNUMBER($BL$260),$B$185=1),$BL$260,HLOOKUP(INDIRECT(ADDRESS(2,COLUMN())),OFFSET($BN$2,0,0,ROW()-1,60),ROW()-1,FALSE))</f>
        <v/>
      </c>
      <c r="BM61" t="str">
        <f ca="1">IF(AND(ISNUMBER($BM$260),$B$185=1),$BM$260,HLOOKUP(INDIRECT(ADDRESS(2,COLUMN())),OFFSET($BN$2,0,0,ROW()-1,60),ROW()-1,FALSE))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 t="str">
        <f>""</f>
        <v/>
      </c>
      <c r="DE61" t="str">
        <f>""</f>
        <v/>
      </c>
      <c r="DF61" t="str">
        <f>""</f>
        <v/>
      </c>
      <c r="DG61" t="str">
        <f>""</f>
        <v/>
      </c>
      <c r="DH61" t="str">
        <f>""</f>
        <v/>
      </c>
      <c r="DI61" t="str">
        <f>""</f>
        <v/>
      </c>
      <c r="DJ61" t="str">
        <f>""</f>
        <v/>
      </c>
      <c r="DK61" t="str">
        <f>""</f>
        <v/>
      </c>
      <c r="DL61" t="str">
        <f>""</f>
        <v/>
      </c>
      <c r="DM61" t="str">
        <f>""</f>
        <v/>
      </c>
      <c r="DN61" t="str">
        <f>""</f>
        <v/>
      </c>
      <c r="DO61" t="str">
        <f>""</f>
        <v/>
      </c>
      <c r="DP61" t="str">
        <f>""</f>
        <v/>
      </c>
      <c r="DQ61" t="str">
        <f>""</f>
        <v/>
      </c>
      <c r="DR61" t="str">
        <f>""</f>
        <v/>
      </c>
      <c r="DS61" t="str">
        <f>""</f>
        <v/>
      </c>
      <c r="DT61" t="str">
        <f>""</f>
        <v/>
      </c>
      <c r="DU61" t="str">
        <f>""</f>
        <v/>
      </c>
    </row>
    <row r="62" spans="1:125">
      <c r="A62" t="str">
        <f>"    Citizens Financial Group Inc"</f>
        <v xml:space="preserve">    Citizens Financial Group Inc</v>
      </c>
      <c r="B62" t="str">
        <f>"CFG US Equity"</f>
        <v>CFG US Equity</v>
      </c>
      <c r="C62" t="str">
        <f t="shared" si="7"/>
        <v>BS962</v>
      </c>
      <c r="D62" t="str">
        <f t="shared" si="8"/>
        <v>BS_RSD_MTG_SRVC_PORTFOLIO</v>
      </c>
      <c r="E62" t="str">
        <f t="shared" si="9"/>
        <v>Dynamic</v>
      </c>
      <c r="F62" t="str">
        <f ca="1">IF(AND(ISNUMBER($F$261),$B$185=1),$F$261,HLOOKUP(INDIRECT(ADDRESS(2,COLUMN())),OFFSET($BN$2,0,0,ROW()-1,60),ROW()-1,FALSE))</f>
        <v/>
      </c>
      <c r="G62" t="str">
        <f ca="1">IF(AND(ISNUMBER($G$261),$B$185=1),$G$261,HLOOKUP(INDIRECT(ADDRESS(2,COLUMN())),OFFSET($BN$2,0,0,ROW()-1,60),ROW()-1,FALSE))</f>
        <v/>
      </c>
      <c r="H62" t="str">
        <f ca="1">IF(AND(ISNUMBER($H$261),$B$185=1),$H$261,HLOOKUP(INDIRECT(ADDRESS(2,COLUMN())),OFFSET($BN$2,0,0,ROW()-1,60),ROW()-1,FALSE))</f>
        <v/>
      </c>
      <c r="I62" t="str">
        <f ca="1">IF(AND(ISNUMBER($I$261),$B$185=1),$I$261,HLOOKUP(INDIRECT(ADDRESS(2,COLUMN())),OFFSET($BN$2,0,0,ROW()-1,60),ROW()-1,FALSE))</f>
        <v/>
      </c>
      <c r="J62" t="str">
        <f ca="1">IF(AND(ISNUMBER($J$261),$B$185=1),$J$261,HLOOKUP(INDIRECT(ADDRESS(2,COLUMN())),OFFSET($BN$2,0,0,ROW()-1,60),ROW()-1,FALSE))</f>
        <v/>
      </c>
      <c r="K62" t="str">
        <f ca="1">IF(AND(ISNUMBER($K$261),$B$185=1),$K$261,HLOOKUP(INDIRECT(ADDRESS(2,COLUMN())),OFFSET($BN$2,0,0,ROW()-1,60),ROW()-1,FALSE))</f>
        <v/>
      </c>
      <c r="L62" t="str">
        <f ca="1">IF(AND(ISNUMBER($L$261),$B$185=1),$L$261,HLOOKUP(INDIRECT(ADDRESS(2,COLUMN())),OFFSET($BN$2,0,0,ROW()-1,60),ROW()-1,FALSE))</f>
        <v/>
      </c>
      <c r="M62" t="str">
        <f ca="1">IF(AND(ISNUMBER($M$261),$B$185=1),$M$261,HLOOKUP(INDIRECT(ADDRESS(2,COLUMN())),OFFSET($BN$2,0,0,ROW()-1,60),ROW()-1,FALSE))</f>
        <v/>
      </c>
      <c r="N62" t="str">
        <f ca="1">IF(AND(ISNUMBER($N$261),$B$185=1),$N$261,HLOOKUP(INDIRECT(ADDRESS(2,COLUMN())),OFFSET($BN$2,0,0,ROW()-1,60),ROW()-1,FALSE))</f>
        <v/>
      </c>
      <c r="O62" t="str">
        <f ca="1">IF(AND(ISNUMBER($O$261),$B$185=1),$O$261,HLOOKUP(INDIRECT(ADDRESS(2,COLUMN())),OFFSET($BN$2,0,0,ROW()-1,60),ROW()-1,FALSE))</f>
        <v/>
      </c>
      <c r="P62" t="str">
        <f ca="1">IF(AND(ISNUMBER($P$261),$B$185=1),$P$261,HLOOKUP(INDIRECT(ADDRESS(2,COLUMN())),OFFSET($BN$2,0,0,ROW()-1,60),ROW()-1,FALSE))</f>
        <v/>
      </c>
      <c r="Q62" t="str">
        <f ca="1">IF(AND(ISNUMBER($Q$261),$B$185=1),$Q$261,HLOOKUP(INDIRECT(ADDRESS(2,COLUMN())),OFFSET($BN$2,0,0,ROW()-1,60),ROW()-1,FALSE))</f>
        <v/>
      </c>
      <c r="R62" t="str">
        <f ca="1">IF(AND(ISNUMBER($R$261),$B$185=1),$R$261,HLOOKUP(INDIRECT(ADDRESS(2,COLUMN())),OFFSET($BN$2,0,0,ROW()-1,60),ROW()-1,FALSE))</f>
        <v/>
      </c>
      <c r="S62" t="str">
        <f ca="1">IF(AND(ISNUMBER($S$261),$B$185=1),$S$261,HLOOKUP(INDIRECT(ADDRESS(2,COLUMN())),OFFSET($BN$2,0,0,ROW()-1,60),ROW()-1,FALSE))</f>
        <v/>
      </c>
      <c r="T62" t="str">
        <f ca="1">IF(AND(ISNUMBER($T$261),$B$185=1),$T$261,HLOOKUP(INDIRECT(ADDRESS(2,COLUMN())),OFFSET($BN$2,0,0,ROW()-1,60),ROW()-1,FALSE))</f>
        <v/>
      </c>
      <c r="U62" t="str">
        <f ca="1">IF(AND(ISNUMBER($U$261),$B$185=1),$U$261,HLOOKUP(INDIRECT(ADDRESS(2,COLUMN())),OFFSET($BN$2,0,0,ROW()-1,60),ROW()-1,FALSE))</f>
        <v/>
      </c>
      <c r="V62" t="str">
        <f ca="1">IF(AND(ISNUMBER($V$261),$B$185=1),$V$261,HLOOKUP(INDIRECT(ADDRESS(2,COLUMN())),OFFSET($BN$2,0,0,ROW()-1,60),ROW()-1,FALSE))</f>
        <v/>
      </c>
      <c r="W62" t="str">
        <f ca="1">IF(AND(ISNUMBER($W$261),$B$185=1),$W$261,HLOOKUP(INDIRECT(ADDRESS(2,COLUMN())),OFFSET($BN$2,0,0,ROW()-1,60),ROW()-1,FALSE))</f>
        <v/>
      </c>
      <c r="X62" t="str">
        <f ca="1">IF(AND(ISNUMBER($X$261),$B$185=1),$X$261,HLOOKUP(INDIRECT(ADDRESS(2,COLUMN())),OFFSET($BN$2,0,0,ROW()-1,60),ROW()-1,FALSE))</f>
        <v/>
      </c>
      <c r="Y62" t="str">
        <f ca="1">IF(AND(ISNUMBER($Y$261),$B$185=1),$Y$261,HLOOKUP(INDIRECT(ADDRESS(2,COLUMN())),OFFSET($BN$2,0,0,ROW()-1,60),ROW()-1,FALSE))</f>
        <v/>
      </c>
      <c r="Z62" t="str">
        <f ca="1">IF(AND(ISNUMBER($Z$261),$B$185=1),$Z$261,HLOOKUP(INDIRECT(ADDRESS(2,COLUMN())),OFFSET($BN$2,0,0,ROW()-1,60),ROW()-1,FALSE))</f>
        <v/>
      </c>
      <c r="AA62" t="str">
        <f ca="1">IF(AND(ISNUMBER($AA$261),$B$185=1),$AA$261,HLOOKUP(INDIRECT(ADDRESS(2,COLUMN())),OFFSET($BN$2,0,0,ROW()-1,60),ROW()-1,FALSE))</f>
        <v/>
      </c>
      <c r="AB62" t="str">
        <f ca="1">IF(AND(ISNUMBER($AB$261),$B$185=1),$AB$261,HLOOKUP(INDIRECT(ADDRESS(2,COLUMN())),OFFSET($BN$2,0,0,ROW()-1,60),ROW()-1,FALSE))</f>
        <v/>
      </c>
      <c r="AC62" t="str">
        <f ca="1">IF(AND(ISNUMBER($AC$261),$B$185=1),$AC$261,HLOOKUP(INDIRECT(ADDRESS(2,COLUMN())),OFFSET($BN$2,0,0,ROW()-1,60),ROW()-1,FALSE))</f>
        <v/>
      </c>
      <c r="AD62" t="str">
        <f ca="1">IF(AND(ISNUMBER($AD$261),$B$185=1),$AD$261,HLOOKUP(INDIRECT(ADDRESS(2,COLUMN())),OFFSET($BN$2,0,0,ROW()-1,60),ROW()-1,FALSE))</f>
        <v/>
      </c>
      <c r="AE62" t="str">
        <f ca="1">IF(AND(ISNUMBER($AE$261),$B$185=1),$AE$261,HLOOKUP(INDIRECT(ADDRESS(2,COLUMN())),OFFSET($BN$2,0,0,ROW()-1,60),ROW()-1,FALSE))</f>
        <v/>
      </c>
      <c r="AF62" t="str">
        <f ca="1">IF(AND(ISNUMBER($AF$261),$B$185=1),$AF$261,HLOOKUP(INDIRECT(ADDRESS(2,COLUMN())),OFFSET($BN$2,0,0,ROW()-1,60),ROW()-1,FALSE))</f>
        <v/>
      </c>
      <c r="AG62" t="str">
        <f ca="1">IF(AND(ISNUMBER($AG$261),$B$185=1),$AG$261,HLOOKUP(INDIRECT(ADDRESS(2,COLUMN())),OFFSET($BN$2,0,0,ROW()-1,60),ROW()-1,FALSE))</f>
        <v/>
      </c>
      <c r="AH62" t="str">
        <f ca="1">IF(AND(ISNUMBER($AH$261),$B$185=1),$AH$261,HLOOKUP(INDIRECT(ADDRESS(2,COLUMN())),OFFSET($BN$2,0,0,ROW()-1,60),ROW()-1,FALSE))</f>
        <v/>
      </c>
      <c r="AI62" t="str">
        <f ca="1">IF(AND(ISNUMBER($AI$261),$B$185=1),$AI$261,HLOOKUP(INDIRECT(ADDRESS(2,COLUMN())),OFFSET($BN$2,0,0,ROW()-1,60),ROW()-1,FALSE))</f>
        <v/>
      </c>
      <c r="AJ62" t="str">
        <f ca="1">IF(AND(ISNUMBER($AJ$261),$B$185=1),$AJ$261,HLOOKUP(INDIRECT(ADDRESS(2,COLUMN())),OFFSET($BN$2,0,0,ROW()-1,60),ROW()-1,FALSE))</f>
        <v/>
      </c>
      <c r="AK62" t="str">
        <f ca="1">IF(AND(ISNUMBER($AK$261),$B$185=1),$AK$261,HLOOKUP(INDIRECT(ADDRESS(2,COLUMN())),OFFSET($BN$2,0,0,ROW()-1,60),ROW()-1,FALSE))</f>
        <v/>
      </c>
      <c r="AL62" t="str">
        <f ca="1">IF(AND(ISNUMBER($AL$261),$B$185=1),$AL$261,HLOOKUP(INDIRECT(ADDRESS(2,COLUMN())),OFFSET($BN$2,0,0,ROW()-1,60),ROW()-1,FALSE))</f>
        <v/>
      </c>
      <c r="AM62" t="str">
        <f ca="1">IF(AND(ISNUMBER($AM$261),$B$185=1),$AM$261,HLOOKUP(INDIRECT(ADDRESS(2,COLUMN())),OFFSET($BN$2,0,0,ROW()-1,60),ROW()-1,FALSE))</f>
        <v/>
      </c>
      <c r="AN62" t="str">
        <f ca="1">IF(AND(ISNUMBER($AN$261),$B$185=1),$AN$261,HLOOKUP(INDIRECT(ADDRESS(2,COLUMN())),OFFSET($BN$2,0,0,ROW()-1,60),ROW()-1,FALSE))</f>
        <v/>
      </c>
      <c r="AO62" t="str">
        <f ca="1">IF(AND(ISNUMBER($AO$261),$B$185=1),$AO$261,HLOOKUP(INDIRECT(ADDRESS(2,COLUMN())),OFFSET($BN$2,0,0,ROW()-1,60),ROW()-1,FALSE))</f>
        <v/>
      </c>
      <c r="AP62" t="str">
        <f ca="1">IF(AND(ISNUMBER($AP$261),$B$185=1),$AP$261,HLOOKUP(INDIRECT(ADDRESS(2,COLUMN())),OFFSET($BN$2,0,0,ROW()-1,60),ROW()-1,FALSE))</f>
        <v/>
      </c>
      <c r="AQ62" t="str">
        <f ca="1">IF(AND(ISNUMBER($AQ$261),$B$185=1),$AQ$261,HLOOKUP(INDIRECT(ADDRESS(2,COLUMN())),OFFSET($BN$2,0,0,ROW()-1,60),ROW()-1,FALSE))</f>
        <v/>
      </c>
      <c r="AR62" t="str">
        <f ca="1">IF(AND(ISNUMBER($AR$261),$B$185=1),$AR$261,HLOOKUP(INDIRECT(ADDRESS(2,COLUMN())),OFFSET($BN$2,0,0,ROW()-1,60),ROW()-1,FALSE))</f>
        <v/>
      </c>
      <c r="AS62" t="str">
        <f ca="1">IF(AND(ISNUMBER($AS$261),$B$185=1),$AS$261,HLOOKUP(INDIRECT(ADDRESS(2,COLUMN())),OFFSET($BN$2,0,0,ROW()-1,60),ROW()-1,FALSE))</f>
        <v/>
      </c>
      <c r="AT62" t="str">
        <f ca="1">IF(AND(ISNUMBER($AT$261),$B$185=1),$AT$261,HLOOKUP(INDIRECT(ADDRESS(2,COLUMN())),OFFSET($BN$2,0,0,ROW()-1,60),ROW()-1,FALSE))</f>
        <v/>
      </c>
      <c r="AU62" t="str">
        <f ca="1">IF(AND(ISNUMBER($AU$261),$B$185=1),$AU$261,HLOOKUP(INDIRECT(ADDRESS(2,COLUMN())),OFFSET($BN$2,0,0,ROW()-1,60),ROW()-1,FALSE))</f>
        <v/>
      </c>
      <c r="AV62" t="str">
        <f ca="1">IF(AND(ISNUMBER($AV$261),$B$185=1),$AV$261,HLOOKUP(INDIRECT(ADDRESS(2,COLUMN())),OFFSET($BN$2,0,0,ROW()-1,60),ROW()-1,FALSE))</f>
        <v/>
      </c>
      <c r="AW62" t="str">
        <f ca="1">IF(AND(ISNUMBER($AW$261),$B$185=1),$AW$261,HLOOKUP(INDIRECT(ADDRESS(2,COLUMN())),OFFSET($BN$2,0,0,ROW()-1,60),ROW()-1,FALSE))</f>
        <v/>
      </c>
      <c r="AX62" t="str">
        <f ca="1">IF(AND(ISNUMBER($AX$261),$B$185=1),$AX$261,HLOOKUP(INDIRECT(ADDRESS(2,COLUMN())),OFFSET($BN$2,0,0,ROW()-1,60),ROW()-1,FALSE))</f>
        <v/>
      </c>
      <c r="AY62" t="str">
        <f ca="1">IF(AND(ISNUMBER($AY$261),$B$185=1),$AY$261,HLOOKUP(INDIRECT(ADDRESS(2,COLUMN())),OFFSET($BN$2,0,0,ROW()-1,60),ROW()-1,FALSE))</f>
        <v/>
      </c>
      <c r="AZ62" t="str">
        <f ca="1">IF(AND(ISNUMBER($AZ$261),$B$185=1),$AZ$261,HLOOKUP(INDIRECT(ADDRESS(2,COLUMN())),OFFSET($BN$2,0,0,ROW()-1,60),ROW()-1,FALSE))</f>
        <v/>
      </c>
      <c r="BA62" t="str">
        <f ca="1">IF(AND(ISNUMBER($BA$261),$B$185=1),$BA$261,HLOOKUP(INDIRECT(ADDRESS(2,COLUMN())),OFFSET($BN$2,0,0,ROW()-1,60),ROW()-1,FALSE))</f>
        <v/>
      </c>
      <c r="BB62" t="str">
        <f ca="1">IF(AND(ISNUMBER($BB$261),$B$185=1),$BB$261,HLOOKUP(INDIRECT(ADDRESS(2,COLUMN())),OFFSET($BN$2,0,0,ROW()-1,60),ROW()-1,FALSE))</f>
        <v/>
      </c>
      <c r="BC62" t="str">
        <f ca="1">IF(AND(ISNUMBER($BC$261),$B$185=1),$BC$261,HLOOKUP(INDIRECT(ADDRESS(2,COLUMN())),OFFSET($BN$2,0,0,ROW()-1,60),ROW()-1,FALSE))</f>
        <v/>
      </c>
      <c r="BD62" t="str">
        <f ca="1">IF(AND(ISNUMBER($BD$261),$B$185=1),$BD$261,HLOOKUP(INDIRECT(ADDRESS(2,COLUMN())),OFFSET($BN$2,0,0,ROW()-1,60),ROW()-1,FALSE))</f>
        <v/>
      </c>
      <c r="BE62" t="str">
        <f ca="1">IF(AND(ISNUMBER($BE$261),$B$185=1),$BE$261,HLOOKUP(INDIRECT(ADDRESS(2,COLUMN())),OFFSET($BN$2,0,0,ROW()-1,60),ROW()-1,FALSE))</f>
        <v/>
      </c>
      <c r="BF62" t="str">
        <f ca="1">IF(AND(ISNUMBER($BF$261),$B$185=1),$BF$261,HLOOKUP(INDIRECT(ADDRESS(2,COLUMN())),OFFSET($BN$2,0,0,ROW()-1,60),ROW()-1,FALSE))</f>
        <v/>
      </c>
      <c r="BG62" t="str">
        <f ca="1">IF(AND(ISNUMBER($BG$261),$B$185=1),$BG$261,HLOOKUP(INDIRECT(ADDRESS(2,COLUMN())),OFFSET($BN$2,0,0,ROW()-1,60),ROW()-1,FALSE))</f>
        <v/>
      </c>
      <c r="BH62" t="str">
        <f ca="1">IF(AND(ISNUMBER($BH$261),$B$185=1),$BH$261,HLOOKUP(INDIRECT(ADDRESS(2,COLUMN())),OFFSET($BN$2,0,0,ROW()-1,60),ROW()-1,FALSE))</f>
        <v/>
      </c>
      <c r="BI62" t="str">
        <f ca="1">IF(AND(ISNUMBER($BI$261),$B$185=1),$BI$261,HLOOKUP(INDIRECT(ADDRESS(2,COLUMN())),OFFSET($BN$2,0,0,ROW()-1,60),ROW()-1,FALSE))</f>
        <v/>
      </c>
      <c r="BJ62" t="str">
        <f ca="1">IF(AND(ISNUMBER($BJ$261),$B$185=1),$BJ$261,HLOOKUP(INDIRECT(ADDRESS(2,COLUMN())),OFFSET($BN$2,0,0,ROW()-1,60),ROW()-1,FALSE))</f>
        <v/>
      </c>
      <c r="BK62" t="str">
        <f ca="1">IF(AND(ISNUMBER($BK$261),$B$185=1),$BK$261,HLOOKUP(INDIRECT(ADDRESS(2,COLUMN())),OFFSET($BN$2,0,0,ROW()-1,60),ROW()-1,FALSE))</f>
        <v/>
      </c>
      <c r="BL62" t="str">
        <f ca="1">IF(AND(ISNUMBER($BL$261),$B$185=1),$BL$261,HLOOKUP(INDIRECT(ADDRESS(2,COLUMN())),OFFSET($BN$2,0,0,ROW()-1,60),ROW()-1,FALSE))</f>
        <v/>
      </c>
      <c r="BM62" t="str">
        <f ca="1">IF(AND(ISNUMBER($BM$261),$B$185=1),$BM$261,HLOOKUP(INDIRECT(ADDRESS(2,COLUMN())),OFFSET($BN$2,0,0,ROW()-1,60),ROW()-1,FALSE))</f>
        <v/>
      </c>
      <c r="BN62" t="str">
        <f>""</f>
        <v/>
      </c>
      <c r="BO62" t="str">
        <f>""</f>
        <v/>
      </c>
      <c r="BP62" t="str">
        <f>""</f>
        <v/>
      </c>
      <c r="BQ62" t="str">
        <f>""</f>
        <v/>
      </c>
      <c r="BR62" t="str">
        <f>""</f>
        <v/>
      </c>
      <c r="BS62" t="str">
        <f>""</f>
        <v/>
      </c>
      <c r="BT62" t="str">
        <f>""</f>
        <v/>
      </c>
      <c r="BU62" t="str">
        <f>""</f>
        <v/>
      </c>
      <c r="BV62" t="str">
        <f>""</f>
        <v/>
      </c>
      <c r="BW62" t="str">
        <f>""</f>
        <v/>
      </c>
      <c r="BX62" t="str">
        <f>""</f>
        <v/>
      </c>
      <c r="BY62" t="str">
        <f>""</f>
        <v/>
      </c>
      <c r="BZ62" t="str">
        <f>""</f>
        <v/>
      </c>
      <c r="CA62" t="str">
        <f>""</f>
        <v/>
      </c>
      <c r="CB62" t="str">
        <f>""</f>
        <v/>
      </c>
      <c r="CC62" t="str">
        <f>""</f>
        <v/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  <c r="CI62" t="str">
        <f>""</f>
        <v/>
      </c>
      <c r="CJ62" t="str">
        <f>""</f>
        <v/>
      </c>
      <c r="CK62" t="str">
        <f>""</f>
        <v/>
      </c>
      <c r="CL62" t="str">
        <f>""</f>
        <v/>
      </c>
      <c r="CM62" t="str">
        <f>""</f>
        <v/>
      </c>
      <c r="CN62" t="str">
        <f>""</f>
        <v/>
      </c>
      <c r="CO62" t="str">
        <f>""</f>
        <v/>
      </c>
      <c r="CP62" t="str">
        <f>""</f>
        <v/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 t="str">
        <f>""</f>
        <v/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>
      <c r="A63" t="str">
        <f>"    Comerica Inc"</f>
        <v xml:space="preserve">    Comerica Inc</v>
      </c>
      <c r="B63" t="str">
        <f>"CMA US Equity"</f>
        <v>CMA US Equity</v>
      </c>
      <c r="C63" t="str">
        <f t="shared" si="7"/>
        <v>BS962</v>
      </c>
      <c r="D63" t="str">
        <f t="shared" si="8"/>
        <v>BS_RSD_MTG_SRVC_PORTFOLIO</v>
      </c>
      <c r="E63" t="str">
        <f t="shared" si="9"/>
        <v>Dynamic</v>
      </c>
      <c r="F63" t="str">
        <f ca="1">IF(AND(ISNUMBER($F$262),$B$185=1),$F$262,HLOOKUP(INDIRECT(ADDRESS(2,COLUMN())),OFFSET($BN$2,0,0,ROW()-1,60),ROW()-1,FALSE))</f>
        <v/>
      </c>
      <c r="G63" t="str">
        <f ca="1">IF(AND(ISNUMBER($G$262),$B$185=1),$G$262,HLOOKUP(INDIRECT(ADDRESS(2,COLUMN())),OFFSET($BN$2,0,0,ROW()-1,60),ROW()-1,FALSE))</f>
        <v/>
      </c>
      <c r="H63" t="str">
        <f ca="1">IF(AND(ISNUMBER($H$262),$B$185=1),$H$262,HLOOKUP(INDIRECT(ADDRESS(2,COLUMN())),OFFSET($BN$2,0,0,ROW()-1,60),ROW()-1,FALSE))</f>
        <v/>
      </c>
      <c r="I63" t="str">
        <f ca="1">IF(AND(ISNUMBER($I$262),$B$185=1),$I$262,HLOOKUP(INDIRECT(ADDRESS(2,COLUMN())),OFFSET($BN$2,0,0,ROW()-1,60),ROW()-1,FALSE))</f>
        <v/>
      </c>
      <c r="J63" t="str">
        <f ca="1">IF(AND(ISNUMBER($J$262),$B$185=1),$J$262,HLOOKUP(INDIRECT(ADDRESS(2,COLUMN())),OFFSET($BN$2,0,0,ROW()-1,60),ROW()-1,FALSE))</f>
        <v/>
      </c>
      <c r="K63" t="str">
        <f ca="1">IF(AND(ISNUMBER($K$262),$B$185=1),$K$262,HLOOKUP(INDIRECT(ADDRESS(2,COLUMN())),OFFSET($BN$2,0,0,ROW()-1,60),ROW()-1,FALSE))</f>
        <v/>
      </c>
      <c r="L63" t="str">
        <f ca="1">IF(AND(ISNUMBER($L$262),$B$185=1),$L$262,HLOOKUP(INDIRECT(ADDRESS(2,COLUMN())),OFFSET($BN$2,0,0,ROW()-1,60),ROW()-1,FALSE))</f>
        <v/>
      </c>
      <c r="M63" t="str">
        <f ca="1">IF(AND(ISNUMBER($M$262),$B$185=1),$M$262,HLOOKUP(INDIRECT(ADDRESS(2,COLUMN())),OFFSET($BN$2,0,0,ROW()-1,60),ROW()-1,FALSE))</f>
        <v/>
      </c>
      <c r="N63" t="str">
        <f ca="1">IF(AND(ISNUMBER($N$262),$B$185=1),$N$262,HLOOKUP(INDIRECT(ADDRESS(2,COLUMN())),OFFSET($BN$2,0,0,ROW()-1,60),ROW()-1,FALSE))</f>
        <v/>
      </c>
      <c r="O63" t="str">
        <f ca="1">IF(AND(ISNUMBER($O$262),$B$185=1),$O$262,HLOOKUP(INDIRECT(ADDRESS(2,COLUMN())),OFFSET($BN$2,0,0,ROW()-1,60),ROW()-1,FALSE))</f>
        <v/>
      </c>
      <c r="P63" t="str">
        <f ca="1">IF(AND(ISNUMBER($P$262),$B$185=1),$P$262,HLOOKUP(INDIRECT(ADDRESS(2,COLUMN())),OFFSET($BN$2,0,0,ROW()-1,60),ROW()-1,FALSE))</f>
        <v/>
      </c>
      <c r="Q63" t="str">
        <f ca="1">IF(AND(ISNUMBER($Q$262),$B$185=1),$Q$262,HLOOKUP(INDIRECT(ADDRESS(2,COLUMN())),OFFSET($BN$2,0,0,ROW()-1,60),ROW()-1,FALSE))</f>
        <v/>
      </c>
      <c r="R63" t="str">
        <f ca="1">IF(AND(ISNUMBER($R$262),$B$185=1),$R$262,HLOOKUP(INDIRECT(ADDRESS(2,COLUMN())),OFFSET($BN$2,0,0,ROW()-1,60),ROW()-1,FALSE))</f>
        <v/>
      </c>
      <c r="S63" t="str">
        <f ca="1">IF(AND(ISNUMBER($S$262),$B$185=1),$S$262,HLOOKUP(INDIRECT(ADDRESS(2,COLUMN())),OFFSET($BN$2,0,0,ROW()-1,60),ROW()-1,FALSE))</f>
        <v/>
      </c>
      <c r="T63" t="str">
        <f ca="1">IF(AND(ISNUMBER($T$262),$B$185=1),$T$262,HLOOKUP(INDIRECT(ADDRESS(2,COLUMN())),OFFSET($BN$2,0,0,ROW()-1,60),ROW()-1,FALSE))</f>
        <v/>
      </c>
      <c r="U63" t="str">
        <f ca="1">IF(AND(ISNUMBER($U$262),$B$185=1),$U$262,HLOOKUP(INDIRECT(ADDRESS(2,COLUMN())),OFFSET($BN$2,0,0,ROW()-1,60),ROW()-1,FALSE))</f>
        <v/>
      </c>
      <c r="V63" t="str">
        <f ca="1">IF(AND(ISNUMBER($V$262),$B$185=1),$V$262,HLOOKUP(INDIRECT(ADDRESS(2,COLUMN())),OFFSET($BN$2,0,0,ROW()-1,60),ROW()-1,FALSE))</f>
        <v/>
      </c>
      <c r="W63" t="str">
        <f ca="1">IF(AND(ISNUMBER($W$262),$B$185=1),$W$262,HLOOKUP(INDIRECT(ADDRESS(2,COLUMN())),OFFSET($BN$2,0,0,ROW()-1,60),ROW()-1,FALSE))</f>
        <v/>
      </c>
      <c r="X63" t="str">
        <f ca="1">IF(AND(ISNUMBER($X$262),$B$185=1),$X$262,HLOOKUP(INDIRECT(ADDRESS(2,COLUMN())),OFFSET($BN$2,0,0,ROW()-1,60),ROW()-1,FALSE))</f>
        <v/>
      </c>
      <c r="Y63" t="str">
        <f ca="1">IF(AND(ISNUMBER($Y$262),$B$185=1),$Y$262,HLOOKUP(INDIRECT(ADDRESS(2,COLUMN())),OFFSET($BN$2,0,0,ROW()-1,60),ROW()-1,FALSE))</f>
        <v/>
      </c>
      <c r="Z63" t="str">
        <f ca="1">IF(AND(ISNUMBER($Z$262),$B$185=1),$Z$262,HLOOKUP(INDIRECT(ADDRESS(2,COLUMN())),OFFSET($BN$2,0,0,ROW()-1,60),ROW()-1,FALSE))</f>
        <v/>
      </c>
      <c r="AA63" t="str">
        <f ca="1">IF(AND(ISNUMBER($AA$262),$B$185=1),$AA$262,HLOOKUP(INDIRECT(ADDRESS(2,COLUMN())),OFFSET($BN$2,0,0,ROW()-1,60),ROW()-1,FALSE))</f>
        <v/>
      </c>
      <c r="AB63" t="str">
        <f ca="1">IF(AND(ISNUMBER($AB$262),$B$185=1),$AB$262,HLOOKUP(INDIRECT(ADDRESS(2,COLUMN())),OFFSET($BN$2,0,0,ROW()-1,60),ROW()-1,FALSE))</f>
        <v/>
      </c>
      <c r="AC63" t="str">
        <f ca="1">IF(AND(ISNUMBER($AC$262),$B$185=1),$AC$262,HLOOKUP(INDIRECT(ADDRESS(2,COLUMN())),OFFSET($BN$2,0,0,ROW()-1,60),ROW()-1,FALSE))</f>
        <v/>
      </c>
      <c r="AD63" t="str">
        <f ca="1">IF(AND(ISNUMBER($AD$262),$B$185=1),$AD$262,HLOOKUP(INDIRECT(ADDRESS(2,COLUMN())),OFFSET($BN$2,0,0,ROW()-1,60),ROW()-1,FALSE))</f>
        <v/>
      </c>
      <c r="AE63" t="str">
        <f ca="1">IF(AND(ISNUMBER($AE$262),$B$185=1),$AE$262,HLOOKUP(INDIRECT(ADDRESS(2,COLUMN())),OFFSET($BN$2,0,0,ROW()-1,60),ROW()-1,FALSE))</f>
        <v/>
      </c>
      <c r="AF63" t="str">
        <f ca="1">IF(AND(ISNUMBER($AF$262),$B$185=1),$AF$262,HLOOKUP(INDIRECT(ADDRESS(2,COLUMN())),OFFSET($BN$2,0,0,ROW()-1,60),ROW()-1,FALSE))</f>
        <v/>
      </c>
      <c r="AG63" t="str">
        <f ca="1">IF(AND(ISNUMBER($AG$262),$B$185=1),$AG$262,HLOOKUP(INDIRECT(ADDRESS(2,COLUMN())),OFFSET($BN$2,0,0,ROW()-1,60),ROW()-1,FALSE))</f>
        <v/>
      </c>
      <c r="AH63" t="str">
        <f ca="1">IF(AND(ISNUMBER($AH$262),$B$185=1),$AH$262,HLOOKUP(INDIRECT(ADDRESS(2,COLUMN())),OFFSET($BN$2,0,0,ROW()-1,60),ROW()-1,FALSE))</f>
        <v/>
      </c>
      <c r="AI63" t="str">
        <f ca="1">IF(AND(ISNUMBER($AI$262),$B$185=1),$AI$262,HLOOKUP(INDIRECT(ADDRESS(2,COLUMN())),OFFSET($BN$2,0,0,ROW()-1,60),ROW()-1,FALSE))</f>
        <v/>
      </c>
      <c r="AJ63" t="str">
        <f ca="1">IF(AND(ISNUMBER($AJ$262),$B$185=1),$AJ$262,HLOOKUP(INDIRECT(ADDRESS(2,COLUMN())),OFFSET($BN$2,0,0,ROW()-1,60),ROW()-1,FALSE))</f>
        <v/>
      </c>
      <c r="AK63" t="str">
        <f ca="1">IF(AND(ISNUMBER($AK$262),$B$185=1),$AK$262,HLOOKUP(INDIRECT(ADDRESS(2,COLUMN())),OFFSET($BN$2,0,0,ROW()-1,60),ROW()-1,FALSE))</f>
        <v/>
      </c>
      <c r="AL63" t="str">
        <f ca="1">IF(AND(ISNUMBER($AL$262),$B$185=1),$AL$262,HLOOKUP(INDIRECT(ADDRESS(2,COLUMN())),OFFSET($BN$2,0,0,ROW()-1,60),ROW()-1,FALSE))</f>
        <v/>
      </c>
      <c r="AM63" t="str">
        <f ca="1">IF(AND(ISNUMBER($AM$262),$B$185=1),$AM$262,HLOOKUP(INDIRECT(ADDRESS(2,COLUMN())),OFFSET($BN$2,0,0,ROW()-1,60),ROW()-1,FALSE))</f>
        <v/>
      </c>
      <c r="AN63" t="str">
        <f ca="1">IF(AND(ISNUMBER($AN$262),$B$185=1),$AN$262,HLOOKUP(INDIRECT(ADDRESS(2,COLUMN())),OFFSET($BN$2,0,0,ROW()-1,60),ROW()-1,FALSE))</f>
        <v/>
      </c>
      <c r="AO63" t="str">
        <f ca="1">IF(AND(ISNUMBER($AO$262),$B$185=1),$AO$262,HLOOKUP(INDIRECT(ADDRESS(2,COLUMN())),OFFSET($BN$2,0,0,ROW()-1,60),ROW()-1,FALSE))</f>
        <v/>
      </c>
      <c r="AP63" t="str">
        <f ca="1">IF(AND(ISNUMBER($AP$262),$B$185=1),$AP$262,HLOOKUP(INDIRECT(ADDRESS(2,COLUMN())),OFFSET($BN$2,0,0,ROW()-1,60),ROW()-1,FALSE))</f>
        <v/>
      </c>
      <c r="AQ63" t="str">
        <f ca="1">IF(AND(ISNUMBER($AQ$262),$B$185=1),$AQ$262,HLOOKUP(INDIRECT(ADDRESS(2,COLUMN())),OFFSET($BN$2,0,0,ROW()-1,60),ROW()-1,FALSE))</f>
        <v/>
      </c>
      <c r="AR63" t="str">
        <f ca="1">IF(AND(ISNUMBER($AR$262),$B$185=1),$AR$262,HLOOKUP(INDIRECT(ADDRESS(2,COLUMN())),OFFSET($BN$2,0,0,ROW()-1,60),ROW()-1,FALSE))</f>
        <v/>
      </c>
      <c r="AS63" t="str">
        <f ca="1">IF(AND(ISNUMBER($AS$262),$B$185=1),$AS$262,HLOOKUP(INDIRECT(ADDRESS(2,COLUMN())),OFFSET($BN$2,0,0,ROW()-1,60),ROW()-1,FALSE))</f>
        <v/>
      </c>
      <c r="AT63" t="str">
        <f ca="1">IF(AND(ISNUMBER($AT$262),$B$185=1),$AT$262,HLOOKUP(INDIRECT(ADDRESS(2,COLUMN())),OFFSET($BN$2,0,0,ROW()-1,60),ROW()-1,FALSE))</f>
        <v/>
      </c>
      <c r="AU63" t="str">
        <f ca="1">IF(AND(ISNUMBER($AU$262),$B$185=1),$AU$262,HLOOKUP(INDIRECT(ADDRESS(2,COLUMN())),OFFSET($BN$2,0,0,ROW()-1,60),ROW()-1,FALSE))</f>
        <v/>
      </c>
      <c r="AV63" t="str">
        <f ca="1">IF(AND(ISNUMBER($AV$262),$B$185=1),$AV$262,HLOOKUP(INDIRECT(ADDRESS(2,COLUMN())),OFFSET($BN$2,0,0,ROW()-1,60),ROW()-1,FALSE))</f>
        <v/>
      </c>
      <c r="AW63" t="str">
        <f ca="1">IF(AND(ISNUMBER($AW$262),$B$185=1),$AW$262,HLOOKUP(INDIRECT(ADDRESS(2,COLUMN())),OFFSET($BN$2,0,0,ROW()-1,60),ROW()-1,FALSE))</f>
        <v/>
      </c>
      <c r="AX63" t="str">
        <f ca="1">IF(AND(ISNUMBER($AX$262),$B$185=1),$AX$262,HLOOKUP(INDIRECT(ADDRESS(2,COLUMN())),OFFSET($BN$2,0,0,ROW()-1,60),ROW()-1,FALSE))</f>
        <v/>
      </c>
      <c r="AY63" t="str">
        <f ca="1">IF(AND(ISNUMBER($AY$262),$B$185=1),$AY$262,HLOOKUP(INDIRECT(ADDRESS(2,COLUMN())),OFFSET($BN$2,0,0,ROW()-1,60),ROW()-1,FALSE))</f>
        <v/>
      </c>
      <c r="AZ63" t="str">
        <f ca="1">IF(AND(ISNUMBER($AZ$262),$B$185=1),$AZ$262,HLOOKUP(INDIRECT(ADDRESS(2,COLUMN())),OFFSET($BN$2,0,0,ROW()-1,60),ROW()-1,FALSE))</f>
        <v/>
      </c>
      <c r="BA63" t="str">
        <f ca="1">IF(AND(ISNUMBER($BA$262),$B$185=1),$BA$262,HLOOKUP(INDIRECT(ADDRESS(2,COLUMN())),OFFSET($BN$2,0,0,ROW()-1,60),ROW()-1,FALSE))</f>
        <v/>
      </c>
      <c r="BB63" t="str">
        <f ca="1">IF(AND(ISNUMBER($BB$262),$B$185=1),$BB$262,HLOOKUP(INDIRECT(ADDRESS(2,COLUMN())),OFFSET($BN$2,0,0,ROW()-1,60),ROW()-1,FALSE))</f>
        <v/>
      </c>
      <c r="BC63" t="str">
        <f ca="1">IF(AND(ISNUMBER($BC$262),$B$185=1),$BC$262,HLOOKUP(INDIRECT(ADDRESS(2,COLUMN())),OFFSET($BN$2,0,0,ROW()-1,60),ROW()-1,FALSE))</f>
        <v/>
      </c>
      <c r="BD63" t="str">
        <f ca="1">IF(AND(ISNUMBER($BD$262),$B$185=1),$BD$262,HLOOKUP(INDIRECT(ADDRESS(2,COLUMN())),OFFSET($BN$2,0,0,ROW()-1,60),ROW()-1,FALSE))</f>
        <v/>
      </c>
      <c r="BE63" t="str">
        <f ca="1">IF(AND(ISNUMBER($BE$262),$B$185=1),$BE$262,HLOOKUP(INDIRECT(ADDRESS(2,COLUMN())),OFFSET($BN$2,0,0,ROW()-1,60),ROW()-1,FALSE))</f>
        <v/>
      </c>
      <c r="BF63" t="str">
        <f ca="1">IF(AND(ISNUMBER($BF$262),$B$185=1),$BF$262,HLOOKUP(INDIRECT(ADDRESS(2,COLUMN())),OFFSET($BN$2,0,0,ROW()-1,60),ROW()-1,FALSE))</f>
        <v/>
      </c>
      <c r="BG63" t="str">
        <f ca="1">IF(AND(ISNUMBER($BG$262),$B$185=1),$BG$262,HLOOKUP(INDIRECT(ADDRESS(2,COLUMN())),OFFSET($BN$2,0,0,ROW()-1,60),ROW()-1,FALSE))</f>
        <v/>
      </c>
      <c r="BH63" t="str">
        <f ca="1">IF(AND(ISNUMBER($BH$262),$B$185=1),$BH$262,HLOOKUP(INDIRECT(ADDRESS(2,COLUMN())),OFFSET($BN$2,0,0,ROW()-1,60),ROW()-1,FALSE))</f>
        <v/>
      </c>
      <c r="BI63" t="str">
        <f ca="1">IF(AND(ISNUMBER($BI$262),$B$185=1),$BI$262,HLOOKUP(INDIRECT(ADDRESS(2,COLUMN())),OFFSET($BN$2,0,0,ROW()-1,60),ROW()-1,FALSE))</f>
        <v/>
      </c>
      <c r="BJ63" t="str">
        <f ca="1">IF(AND(ISNUMBER($BJ$262),$B$185=1),$BJ$262,HLOOKUP(INDIRECT(ADDRESS(2,COLUMN())),OFFSET($BN$2,0,0,ROW()-1,60),ROW()-1,FALSE))</f>
        <v/>
      </c>
      <c r="BK63" t="str">
        <f ca="1">IF(AND(ISNUMBER($BK$262),$B$185=1),$BK$262,HLOOKUP(INDIRECT(ADDRESS(2,COLUMN())),OFFSET($BN$2,0,0,ROW()-1,60),ROW()-1,FALSE))</f>
        <v/>
      </c>
      <c r="BL63" t="str">
        <f ca="1">IF(AND(ISNUMBER($BL$262),$B$185=1),$BL$262,HLOOKUP(INDIRECT(ADDRESS(2,COLUMN())),OFFSET($BN$2,0,0,ROW()-1,60),ROW()-1,FALSE))</f>
        <v/>
      </c>
      <c r="BM63" t="str">
        <f ca="1">IF(AND(ISNUMBER($BM$262),$B$185=1),$BM$262,HLOOKUP(INDIRECT(ADDRESS(2,COLUMN())),OFFSET($BN$2,0,0,ROW()-1,60),ROW()-1,FALSE))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  <c r="BT63" t="str">
        <f>""</f>
        <v/>
      </c>
      <c r="BU63" t="str">
        <f>""</f>
        <v/>
      </c>
      <c r="BV63" t="str">
        <f>""</f>
        <v/>
      </c>
      <c r="BW63" t="str">
        <f>""</f>
        <v/>
      </c>
      <c r="BX63" t="str">
        <f>""</f>
        <v/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  <c r="CI63" t="str">
        <f>""</f>
        <v/>
      </c>
      <c r="CJ63" t="str">
        <f>""</f>
        <v/>
      </c>
      <c r="CK63" t="str">
        <f>""</f>
        <v/>
      </c>
      <c r="CL63" t="str">
        <f>""</f>
        <v/>
      </c>
      <c r="CM63" t="str">
        <f>""</f>
        <v/>
      </c>
      <c r="CN63" t="str">
        <f>""</f>
        <v/>
      </c>
      <c r="CO63" t="str">
        <f>""</f>
        <v/>
      </c>
      <c r="CP63" t="str">
        <f>""</f>
        <v/>
      </c>
      <c r="CQ63" t="str">
        <f>""</f>
        <v/>
      </c>
      <c r="CR63" t="str">
        <f>""</f>
        <v/>
      </c>
      <c r="CS63" t="str">
        <f>""</f>
        <v/>
      </c>
      <c r="CT63" t="str">
        <f>""</f>
        <v/>
      </c>
      <c r="CU63" t="str">
        <f>""</f>
        <v/>
      </c>
      <c r="CV63" t="str">
        <f>""</f>
        <v/>
      </c>
      <c r="CW63" t="str">
        <f>""</f>
        <v/>
      </c>
      <c r="CX63" t="str">
        <f>""</f>
        <v/>
      </c>
      <c r="CY63" t="str">
        <f>""</f>
        <v/>
      </c>
      <c r="CZ63" t="str">
        <f>""</f>
        <v/>
      </c>
      <c r="DA63" t="str">
        <f>""</f>
        <v/>
      </c>
      <c r="DB63" t="str">
        <f>""</f>
        <v/>
      </c>
      <c r="DC63" t="str">
        <f>""</f>
        <v/>
      </c>
      <c r="DD63" t="str">
        <f>""</f>
        <v/>
      </c>
      <c r="DE63" t="str">
        <f>""</f>
        <v/>
      </c>
      <c r="DF63" t="str">
        <f>""</f>
        <v/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>
      <c r="A64" t="str">
        <f>"    East West Bancorp Inc"</f>
        <v xml:space="preserve">    East West Bancorp Inc</v>
      </c>
      <c r="B64" t="str">
        <f>"EWBC US Equity"</f>
        <v>EWBC US Equity</v>
      </c>
      <c r="C64" t="str">
        <f t="shared" si="7"/>
        <v>BS962</v>
      </c>
      <c r="D64" t="str">
        <f t="shared" si="8"/>
        <v>BS_RSD_MTG_SRVC_PORTFOLIO</v>
      </c>
      <c r="E64" t="str">
        <f t="shared" si="9"/>
        <v>Dynamic</v>
      </c>
      <c r="F64" t="str">
        <f ca="1">IF(AND(ISNUMBER($F$263),$B$185=1),$F$263,HLOOKUP(INDIRECT(ADDRESS(2,COLUMN())),OFFSET($BN$2,0,0,ROW()-1,60),ROW()-1,FALSE))</f>
        <v/>
      </c>
      <c r="G64" t="str">
        <f ca="1">IF(AND(ISNUMBER($G$263),$B$185=1),$G$263,HLOOKUP(INDIRECT(ADDRESS(2,COLUMN())),OFFSET($BN$2,0,0,ROW()-1,60),ROW()-1,FALSE))</f>
        <v/>
      </c>
      <c r="H64" t="str">
        <f ca="1">IF(AND(ISNUMBER($H$263),$B$185=1),$H$263,HLOOKUP(INDIRECT(ADDRESS(2,COLUMN())),OFFSET($BN$2,0,0,ROW()-1,60),ROW()-1,FALSE))</f>
        <v/>
      </c>
      <c r="I64" t="str">
        <f ca="1">IF(AND(ISNUMBER($I$263),$B$185=1),$I$263,HLOOKUP(INDIRECT(ADDRESS(2,COLUMN())),OFFSET($BN$2,0,0,ROW()-1,60),ROW()-1,FALSE))</f>
        <v/>
      </c>
      <c r="J64" t="str">
        <f ca="1">IF(AND(ISNUMBER($J$263),$B$185=1),$J$263,HLOOKUP(INDIRECT(ADDRESS(2,COLUMN())),OFFSET($BN$2,0,0,ROW()-1,60),ROW()-1,FALSE))</f>
        <v/>
      </c>
      <c r="K64" t="str">
        <f ca="1">IF(AND(ISNUMBER($K$263),$B$185=1),$K$263,HLOOKUP(INDIRECT(ADDRESS(2,COLUMN())),OFFSET($BN$2,0,0,ROW()-1,60),ROW()-1,FALSE))</f>
        <v/>
      </c>
      <c r="L64" t="str">
        <f ca="1">IF(AND(ISNUMBER($L$263),$B$185=1),$L$263,HLOOKUP(INDIRECT(ADDRESS(2,COLUMN())),OFFSET($BN$2,0,0,ROW()-1,60),ROW()-1,FALSE))</f>
        <v/>
      </c>
      <c r="M64" t="str">
        <f ca="1">IF(AND(ISNUMBER($M$263),$B$185=1),$M$263,HLOOKUP(INDIRECT(ADDRESS(2,COLUMN())),OFFSET($BN$2,0,0,ROW()-1,60),ROW()-1,FALSE))</f>
        <v/>
      </c>
      <c r="N64" t="str">
        <f ca="1">IF(AND(ISNUMBER($N$263),$B$185=1),$N$263,HLOOKUP(INDIRECT(ADDRESS(2,COLUMN())),OFFSET($BN$2,0,0,ROW()-1,60),ROW()-1,FALSE))</f>
        <v/>
      </c>
      <c r="O64" t="str">
        <f ca="1">IF(AND(ISNUMBER($O$263),$B$185=1),$O$263,HLOOKUP(INDIRECT(ADDRESS(2,COLUMN())),OFFSET($BN$2,0,0,ROW()-1,60),ROW()-1,FALSE))</f>
        <v/>
      </c>
      <c r="P64" t="str">
        <f ca="1">IF(AND(ISNUMBER($P$263),$B$185=1),$P$263,HLOOKUP(INDIRECT(ADDRESS(2,COLUMN())),OFFSET($BN$2,0,0,ROW()-1,60),ROW()-1,FALSE))</f>
        <v/>
      </c>
      <c r="Q64" t="str">
        <f ca="1">IF(AND(ISNUMBER($Q$263),$B$185=1),$Q$263,HLOOKUP(INDIRECT(ADDRESS(2,COLUMN())),OFFSET($BN$2,0,0,ROW()-1,60),ROW()-1,FALSE))</f>
        <v/>
      </c>
      <c r="R64" t="str">
        <f ca="1">IF(AND(ISNUMBER($R$263),$B$185=1),$R$263,HLOOKUP(INDIRECT(ADDRESS(2,COLUMN())),OFFSET($BN$2,0,0,ROW()-1,60),ROW()-1,FALSE))</f>
        <v/>
      </c>
      <c r="S64" t="str">
        <f ca="1">IF(AND(ISNUMBER($S$263),$B$185=1),$S$263,HLOOKUP(INDIRECT(ADDRESS(2,COLUMN())),OFFSET($BN$2,0,0,ROW()-1,60),ROW()-1,FALSE))</f>
        <v/>
      </c>
      <c r="T64" t="str">
        <f ca="1">IF(AND(ISNUMBER($T$263),$B$185=1),$T$263,HLOOKUP(INDIRECT(ADDRESS(2,COLUMN())),OFFSET($BN$2,0,0,ROW()-1,60),ROW()-1,FALSE))</f>
        <v/>
      </c>
      <c r="U64" t="str">
        <f ca="1">IF(AND(ISNUMBER($U$263),$B$185=1),$U$263,HLOOKUP(INDIRECT(ADDRESS(2,COLUMN())),OFFSET($BN$2,0,0,ROW()-1,60),ROW()-1,FALSE))</f>
        <v/>
      </c>
      <c r="V64" t="str">
        <f ca="1">IF(AND(ISNUMBER($V$263),$B$185=1),$V$263,HLOOKUP(INDIRECT(ADDRESS(2,COLUMN())),OFFSET($BN$2,0,0,ROW()-1,60),ROW()-1,FALSE))</f>
        <v/>
      </c>
      <c r="W64" t="str">
        <f ca="1">IF(AND(ISNUMBER($W$263),$B$185=1),$W$263,HLOOKUP(INDIRECT(ADDRESS(2,COLUMN())),OFFSET($BN$2,0,0,ROW()-1,60),ROW()-1,FALSE))</f>
        <v/>
      </c>
      <c r="X64" t="str">
        <f ca="1">IF(AND(ISNUMBER($X$263),$B$185=1),$X$263,HLOOKUP(INDIRECT(ADDRESS(2,COLUMN())),OFFSET($BN$2,0,0,ROW()-1,60),ROW()-1,FALSE))</f>
        <v/>
      </c>
      <c r="Y64" t="str">
        <f ca="1">IF(AND(ISNUMBER($Y$263),$B$185=1),$Y$263,HLOOKUP(INDIRECT(ADDRESS(2,COLUMN())),OFFSET($BN$2,0,0,ROW()-1,60),ROW()-1,FALSE))</f>
        <v/>
      </c>
      <c r="Z64" t="str">
        <f ca="1">IF(AND(ISNUMBER($Z$263),$B$185=1),$Z$263,HLOOKUP(INDIRECT(ADDRESS(2,COLUMN())),OFFSET($BN$2,0,0,ROW()-1,60),ROW()-1,FALSE))</f>
        <v/>
      </c>
      <c r="AA64" t="str">
        <f ca="1">IF(AND(ISNUMBER($AA$263),$B$185=1),$AA$263,HLOOKUP(INDIRECT(ADDRESS(2,COLUMN())),OFFSET($BN$2,0,0,ROW()-1,60),ROW()-1,FALSE))</f>
        <v/>
      </c>
      <c r="AB64" t="str">
        <f ca="1">IF(AND(ISNUMBER($AB$263),$B$185=1),$AB$263,HLOOKUP(INDIRECT(ADDRESS(2,COLUMN())),OFFSET($BN$2,0,0,ROW()-1,60),ROW()-1,FALSE))</f>
        <v/>
      </c>
      <c r="AC64" t="str">
        <f ca="1">IF(AND(ISNUMBER($AC$263),$B$185=1),$AC$263,HLOOKUP(INDIRECT(ADDRESS(2,COLUMN())),OFFSET($BN$2,0,0,ROW()-1,60),ROW()-1,FALSE))</f>
        <v/>
      </c>
      <c r="AD64" t="str">
        <f ca="1">IF(AND(ISNUMBER($AD$263),$B$185=1),$AD$263,HLOOKUP(INDIRECT(ADDRESS(2,COLUMN())),OFFSET($BN$2,0,0,ROW()-1,60),ROW()-1,FALSE))</f>
        <v/>
      </c>
      <c r="AE64" t="str">
        <f ca="1">IF(AND(ISNUMBER($AE$263),$B$185=1),$AE$263,HLOOKUP(INDIRECT(ADDRESS(2,COLUMN())),OFFSET($BN$2,0,0,ROW()-1,60),ROW()-1,FALSE))</f>
        <v/>
      </c>
      <c r="AF64" t="str">
        <f ca="1">IF(AND(ISNUMBER($AF$263),$B$185=1),$AF$263,HLOOKUP(INDIRECT(ADDRESS(2,COLUMN())),OFFSET($BN$2,0,0,ROW()-1,60),ROW()-1,FALSE))</f>
        <v/>
      </c>
      <c r="AG64" t="str">
        <f ca="1">IF(AND(ISNUMBER($AG$263),$B$185=1),$AG$263,HLOOKUP(INDIRECT(ADDRESS(2,COLUMN())),OFFSET($BN$2,0,0,ROW()-1,60),ROW()-1,FALSE))</f>
        <v/>
      </c>
      <c r="AH64" t="str">
        <f ca="1">IF(AND(ISNUMBER($AH$263),$B$185=1),$AH$263,HLOOKUP(INDIRECT(ADDRESS(2,COLUMN())),OFFSET($BN$2,0,0,ROW()-1,60),ROW()-1,FALSE))</f>
        <v/>
      </c>
      <c r="AI64" t="str">
        <f ca="1">IF(AND(ISNUMBER($AI$263),$B$185=1),$AI$263,HLOOKUP(INDIRECT(ADDRESS(2,COLUMN())),OFFSET($BN$2,0,0,ROW()-1,60),ROW()-1,FALSE))</f>
        <v/>
      </c>
      <c r="AJ64" t="str">
        <f ca="1">IF(AND(ISNUMBER($AJ$263),$B$185=1),$AJ$263,HLOOKUP(INDIRECT(ADDRESS(2,COLUMN())),OFFSET($BN$2,0,0,ROW()-1,60),ROW()-1,FALSE))</f>
        <v/>
      </c>
      <c r="AK64" t="str">
        <f ca="1">IF(AND(ISNUMBER($AK$263),$B$185=1),$AK$263,HLOOKUP(INDIRECT(ADDRESS(2,COLUMN())),OFFSET($BN$2,0,0,ROW()-1,60),ROW()-1,FALSE))</f>
        <v/>
      </c>
      <c r="AL64" t="str">
        <f ca="1">IF(AND(ISNUMBER($AL$263),$B$185=1),$AL$263,HLOOKUP(INDIRECT(ADDRESS(2,COLUMN())),OFFSET($BN$2,0,0,ROW()-1,60),ROW()-1,FALSE))</f>
        <v/>
      </c>
      <c r="AM64" t="str">
        <f ca="1">IF(AND(ISNUMBER($AM$263),$B$185=1),$AM$263,HLOOKUP(INDIRECT(ADDRESS(2,COLUMN())),OFFSET($BN$2,0,0,ROW()-1,60),ROW()-1,FALSE))</f>
        <v/>
      </c>
      <c r="AN64" t="str">
        <f ca="1">IF(AND(ISNUMBER($AN$263),$B$185=1),$AN$263,HLOOKUP(INDIRECT(ADDRESS(2,COLUMN())),OFFSET($BN$2,0,0,ROW()-1,60),ROW()-1,FALSE))</f>
        <v/>
      </c>
      <c r="AO64" t="str">
        <f ca="1">IF(AND(ISNUMBER($AO$263),$B$185=1),$AO$263,HLOOKUP(INDIRECT(ADDRESS(2,COLUMN())),OFFSET($BN$2,0,0,ROW()-1,60),ROW()-1,FALSE))</f>
        <v/>
      </c>
      <c r="AP64" t="str">
        <f ca="1">IF(AND(ISNUMBER($AP$263),$B$185=1),$AP$263,HLOOKUP(INDIRECT(ADDRESS(2,COLUMN())),OFFSET($BN$2,0,0,ROW()-1,60),ROW()-1,FALSE))</f>
        <v/>
      </c>
      <c r="AQ64" t="str">
        <f ca="1">IF(AND(ISNUMBER($AQ$263),$B$185=1),$AQ$263,HLOOKUP(INDIRECT(ADDRESS(2,COLUMN())),OFFSET($BN$2,0,0,ROW()-1,60),ROW()-1,FALSE))</f>
        <v/>
      </c>
      <c r="AR64" t="str">
        <f ca="1">IF(AND(ISNUMBER($AR$263),$B$185=1),$AR$263,HLOOKUP(INDIRECT(ADDRESS(2,COLUMN())),OFFSET($BN$2,0,0,ROW()-1,60),ROW()-1,FALSE))</f>
        <v/>
      </c>
      <c r="AS64" t="str">
        <f ca="1">IF(AND(ISNUMBER($AS$263),$B$185=1),$AS$263,HLOOKUP(INDIRECT(ADDRESS(2,COLUMN())),OFFSET($BN$2,0,0,ROW()-1,60),ROW()-1,FALSE))</f>
        <v/>
      </c>
      <c r="AT64" t="str">
        <f ca="1">IF(AND(ISNUMBER($AT$263),$B$185=1),$AT$263,HLOOKUP(INDIRECT(ADDRESS(2,COLUMN())),OFFSET($BN$2,0,0,ROW()-1,60),ROW()-1,FALSE))</f>
        <v/>
      </c>
      <c r="AU64" t="str">
        <f ca="1">IF(AND(ISNUMBER($AU$263),$B$185=1),$AU$263,HLOOKUP(INDIRECT(ADDRESS(2,COLUMN())),OFFSET($BN$2,0,0,ROW()-1,60),ROW()-1,FALSE))</f>
        <v/>
      </c>
      <c r="AV64" t="str">
        <f ca="1">IF(AND(ISNUMBER($AV$263),$B$185=1),$AV$263,HLOOKUP(INDIRECT(ADDRESS(2,COLUMN())),OFFSET($BN$2,0,0,ROW()-1,60),ROW()-1,FALSE))</f>
        <v/>
      </c>
      <c r="AW64" t="str">
        <f ca="1">IF(AND(ISNUMBER($AW$263),$B$185=1),$AW$263,HLOOKUP(INDIRECT(ADDRESS(2,COLUMN())),OFFSET($BN$2,0,0,ROW()-1,60),ROW()-1,FALSE))</f>
        <v/>
      </c>
      <c r="AX64" t="str">
        <f ca="1">IF(AND(ISNUMBER($AX$263),$B$185=1),$AX$263,HLOOKUP(INDIRECT(ADDRESS(2,COLUMN())),OFFSET($BN$2,0,0,ROW()-1,60),ROW()-1,FALSE))</f>
        <v/>
      </c>
      <c r="AY64" t="str">
        <f ca="1">IF(AND(ISNUMBER($AY$263),$B$185=1),$AY$263,HLOOKUP(INDIRECT(ADDRESS(2,COLUMN())),OFFSET($BN$2,0,0,ROW()-1,60),ROW()-1,FALSE))</f>
        <v/>
      </c>
      <c r="AZ64" t="str">
        <f ca="1">IF(AND(ISNUMBER($AZ$263),$B$185=1),$AZ$263,HLOOKUP(INDIRECT(ADDRESS(2,COLUMN())),OFFSET($BN$2,0,0,ROW()-1,60),ROW()-1,FALSE))</f>
        <v/>
      </c>
      <c r="BA64" t="str">
        <f ca="1">IF(AND(ISNUMBER($BA$263),$B$185=1),$BA$263,HLOOKUP(INDIRECT(ADDRESS(2,COLUMN())),OFFSET($BN$2,0,0,ROW()-1,60),ROW()-1,FALSE))</f>
        <v/>
      </c>
      <c r="BB64" t="str">
        <f ca="1">IF(AND(ISNUMBER($BB$263),$B$185=1),$BB$263,HLOOKUP(INDIRECT(ADDRESS(2,COLUMN())),OFFSET($BN$2,0,0,ROW()-1,60),ROW()-1,FALSE))</f>
        <v/>
      </c>
      <c r="BC64" t="str">
        <f ca="1">IF(AND(ISNUMBER($BC$263),$B$185=1),$BC$263,HLOOKUP(INDIRECT(ADDRESS(2,COLUMN())),OFFSET($BN$2,0,0,ROW()-1,60),ROW()-1,FALSE))</f>
        <v/>
      </c>
      <c r="BD64" t="str">
        <f ca="1">IF(AND(ISNUMBER($BD$263),$B$185=1),$BD$263,HLOOKUP(INDIRECT(ADDRESS(2,COLUMN())),OFFSET($BN$2,0,0,ROW()-1,60),ROW()-1,FALSE))</f>
        <v/>
      </c>
      <c r="BE64" t="str">
        <f ca="1">IF(AND(ISNUMBER($BE$263),$B$185=1),$BE$263,HLOOKUP(INDIRECT(ADDRESS(2,COLUMN())),OFFSET($BN$2,0,0,ROW()-1,60),ROW()-1,FALSE))</f>
        <v/>
      </c>
      <c r="BF64" t="str">
        <f ca="1">IF(AND(ISNUMBER($BF$263),$B$185=1),$BF$263,HLOOKUP(INDIRECT(ADDRESS(2,COLUMN())),OFFSET($BN$2,0,0,ROW()-1,60),ROW()-1,FALSE))</f>
        <v/>
      </c>
      <c r="BG64" t="str">
        <f ca="1">IF(AND(ISNUMBER($BG$263),$B$185=1),$BG$263,HLOOKUP(INDIRECT(ADDRESS(2,COLUMN())),OFFSET($BN$2,0,0,ROW()-1,60),ROW()-1,FALSE))</f>
        <v/>
      </c>
      <c r="BH64" t="str">
        <f ca="1">IF(AND(ISNUMBER($BH$263),$B$185=1),$BH$263,HLOOKUP(INDIRECT(ADDRESS(2,COLUMN())),OFFSET($BN$2,0,0,ROW()-1,60),ROW()-1,FALSE))</f>
        <v/>
      </c>
      <c r="BI64" t="str">
        <f ca="1">IF(AND(ISNUMBER($BI$263),$B$185=1),$BI$263,HLOOKUP(INDIRECT(ADDRESS(2,COLUMN())),OFFSET($BN$2,0,0,ROW()-1,60),ROW()-1,FALSE))</f>
        <v/>
      </c>
      <c r="BJ64" t="str">
        <f ca="1">IF(AND(ISNUMBER($BJ$263),$B$185=1),$BJ$263,HLOOKUP(INDIRECT(ADDRESS(2,COLUMN())),OFFSET($BN$2,0,0,ROW()-1,60),ROW()-1,FALSE))</f>
        <v/>
      </c>
      <c r="BK64" t="str">
        <f ca="1">IF(AND(ISNUMBER($BK$263),$B$185=1),$BK$263,HLOOKUP(INDIRECT(ADDRESS(2,COLUMN())),OFFSET($BN$2,0,0,ROW()-1,60),ROW()-1,FALSE))</f>
        <v/>
      </c>
      <c r="BL64" t="str">
        <f ca="1">IF(AND(ISNUMBER($BL$263),$B$185=1),$BL$263,HLOOKUP(INDIRECT(ADDRESS(2,COLUMN())),OFFSET($BN$2,0,0,ROW()-1,60),ROW()-1,FALSE))</f>
        <v/>
      </c>
      <c r="BM64" t="str">
        <f ca="1">IF(AND(ISNUMBER($BM$263),$B$185=1),$BM$263,HLOOKUP(INDIRECT(ADDRESS(2,COLUMN())),OFFSET($BN$2,0,0,ROW()-1,60),ROW()-1,FALSE))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>
      <c r="A65" t="str">
        <f>"    First Horizon Corp"</f>
        <v xml:space="preserve">    First Horizon Corp</v>
      </c>
      <c r="B65" t="str">
        <f>"FHN US Equity"</f>
        <v>FHN US Equity</v>
      </c>
      <c r="C65" t="str">
        <f t="shared" si="7"/>
        <v>BS962</v>
      </c>
      <c r="D65" t="str">
        <f t="shared" si="8"/>
        <v>BS_RSD_MTG_SRVC_PORTFOLIO</v>
      </c>
      <c r="E65" t="str">
        <f t="shared" si="9"/>
        <v>Dynamic</v>
      </c>
      <c r="F65">
        <f ca="1">IF(AND(ISNUMBER($F$264),$B$185=1),$F$264,HLOOKUP(INDIRECT(ADDRESS(2,COLUMN())),OFFSET($BN$2,0,0,ROW()-1,60),ROW()-1,FALSE))</f>
        <v>0</v>
      </c>
      <c r="G65" t="str">
        <f ca="1">IF(AND(ISNUMBER($G$264),$B$185=1),$G$264,HLOOKUP(INDIRECT(ADDRESS(2,COLUMN())),OFFSET($BN$2,0,0,ROW()-1,60),ROW()-1,FALSE))</f>
        <v/>
      </c>
      <c r="H65" t="str">
        <f ca="1">IF(AND(ISNUMBER($H$264),$B$185=1),$H$264,HLOOKUP(INDIRECT(ADDRESS(2,COLUMN())),OFFSET($BN$2,0,0,ROW()-1,60),ROW()-1,FALSE))</f>
        <v/>
      </c>
      <c r="I65" t="str">
        <f ca="1">IF(AND(ISNUMBER($I$264),$B$185=1),$I$264,HLOOKUP(INDIRECT(ADDRESS(2,COLUMN())),OFFSET($BN$2,0,0,ROW()-1,60),ROW()-1,FALSE))</f>
        <v/>
      </c>
      <c r="J65">
        <f ca="1">IF(AND(ISNUMBER($J$264),$B$185=1),$J$264,HLOOKUP(INDIRECT(ADDRESS(2,COLUMN())),OFFSET($BN$2,0,0,ROW()-1,60),ROW()-1,FALSE))</f>
        <v>0</v>
      </c>
      <c r="K65" t="str">
        <f ca="1">IF(AND(ISNUMBER($K$264),$B$185=1),$K$264,HLOOKUP(INDIRECT(ADDRESS(2,COLUMN())),OFFSET($BN$2,0,0,ROW()-1,60),ROW()-1,FALSE))</f>
        <v/>
      </c>
      <c r="L65" t="str">
        <f ca="1">IF(AND(ISNUMBER($L$264),$B$185=1),$L$264,HLOOKUP(INDIRECT(ADDRESS(2,COLUMN())),OFFSET($BN$2,0,0,ROW()-1,60),ROW()-1,FALSE))</f>
        <v/>
      </c>
      <c r="M65" t="str">
        <f ca="1">IF(AND(ISNUMBER($M$264),$B$185=1),$M$264,HLOOKUP(INDIRECT(ADDRESS(2,COLUMN())),OFFSET($BN$2,0,0,ROW()-1,60),ROW()-1,FALSE))</f>
        <v/>
      </c>
      <c r="N65">
        <f ca="1">IF(AND(ISNUMBER($N$264),$B$185=1),$N$264,HLOOKUP(INDIRECT(ADDRESS(2,COLUMN())),OFFSET($BN$2,0,0,ROW()-1,60),ROW()-1,FALSE))</f>
        <v>0</v>
      </c>
      <c r="O65" t="str">
        <f ca="1">IF(AND(ISNUMBER($O$264),$B$185=1),$O$264,HLOOKUP(INDIRECT(ADDRESS(2,COLUMN())),OFFSET($BN$2,0,0,ROW()-1,60),ROW()-1,FALSE))</f>
        <v/>
      </c>
      <c r="P65" t="str">
        <f ca="1">IF(AND(ISNUMBER($P$264),$B$185=1),$P$264,HLOOKUP(INDIRECT(ADDRESS(2,COLUMN())),OFFSET($BN$2,0,0,ROW()-1,60),ROW()-1,FALSE))</f>
        <v/>
      </c>
      <c r="Q65" t="str">
        <f ca="1">IF(AND(ISNUMBER($Q$264),$B$185=1),$Q$264,HLOOKUP(INDIRECT(ADDRESS(2,COLUMN())),OFFSET($BN$2,0,0,ROW()-1,60),ROW()-1,FALSE))</f>
        <v/>
      </c>
      <c r="R65">
        <f ca="1">IF(AND(ISNUMBER($R$264),$B$185=1),$R$264,HLOOKUP(INDIRECT(ADDRESS(2,COLUMN())),OFFSET($BN$2,0,0,ROW()-1,60),ROW()-1,FALSE))</f>
        <v>0</v>
      </c>
      <c r="S65" t="str">
        <f ca="1">IF(AND(ISNUMBER($S$264),$B$185=1),$S$264,HLOOKUP(INDIRECT(ADDRESS(2,COLUMN())),OFFSET($BN$2,0,0,ROW()-1,60),ROW()-1,FALSE))</f>
        <v/>
      </c>
      <c r="T65" t="str">
        <f ca="1">IF(AND(ISNUMBER($T$264),$B$185=1),$T$264,HLOOKUP(INDIRECT(ADDRESS(2,COLUMN())),OFFSET($BN$2,0,0,ROW()-1,60),ROW()-1,FALSE))</f>
        <v/>
      </c>
      <c r="U65" t="str">
        <f ca="1">IF(AND(ISNUMBER($U$264),$B$185=1),$U$264,HLOOKUP(INDIRECT(ADDRESS(2,COLUMN())),OFFSET($BN$2,0,0,ROW()-1,60),ROW()-1,FALSE))</f>
        <v/>
      </c>
      <c r="V65">
        <f ca="1">IF(AND(ISNUMBER($V$264),$B$185=1),$V$264,HLOOKUP(INDIRECT(ADDRESS(2,COLUMN())),OFFSET($BN$2,0,0,ROW()-1,60),ROW()-1,FALSE))</f>
        <v>0</v>
      </c>
      <c r="W65" t="str">
        <f ca="1">IF(AND(ISNUMBER($W$264),$B$185=1),$W$264,HLOOKUP(INDIRECT(ADDRESS(2,COLUMN())),OFFSET($BN$2,0,0,ROW()-1,60),ROW()-1,FALSE))</f>
        <v/>
      </c>
      <c r="X65" t="str">
        <f ca="1">IF(AND(ISNUMBER($X$264),$B$185=1),$X$264,HLOOKUP(INDIRECT(ADDRESS(2,COLUMN())),OFFSET($BN$2,0,0,ROW()-1,60),ROW()-1,FALSE))</f>
        <v/>
      </c>
      <c r="Y65" t="str">
        <f ca="1">IF(AND(ISNUMBER($Y$264),$B$185=1),$Y$264,HLOOKUP(INDIRECT(ADDRESS(2,COLUMN())),OFFSET($BN$2,0,0,ROW()-1,60),ROW()-1,FALSE))</f>
        <v/>
      </c>
      <c r="Z65">
        <f ca="1">IF(AND(ISNUMBER($Z$264),$B$185=1),$Z$264,HLOOKUP(INDIRECT(ADDRESS(2,COLUMN())),OFFSET($BN$2,0,0,ROW()-1,60),ROW()-1,FALSE))</f>
        <v>0</v>
      </c>
      <c r="AA65" t="str">
        <f ca="1">IF(AND(ISNUMBER($AA$264),$B$185=1),$AA$264,HLOOKUP(INDIRECT(ADDRESS(2,COLUMN())),OFFSET($BN$2,0,0,ROW()-1,60),ROW()-1,FALSE))</f>
        <v/>
      </c>
      <c r="AB65" t="str">
        <f ca="1">IF(AND(ISNUMBER($AB$264),$B$185=1),$AB$264,HLOOKUP(INDIRECT(ADDRESS(2,COLUMN())),OFFSET($BN$2,0,0,ROW()-1,60),ROW()-1,FALSE))</f>
        <v/>
      </c>
      <c r="AC65" t="str">
        <f ca="1">IF(AND(ISNUMBER($AC$264),$B$185=1),$AC$264,HLOOKUP(INDIRECT(ADDRESS(2,COLUMN())),OFFSET($BN$2,0,0,ROW()-1,60),ROW()-1,FALSE))</f>
        <v/>
      </c>
      <c r="AD65">
        <f ca="1">IF(AND(ISNUMBER($AD$264),$B$185=1),$AD$264,HLOOKUP(INDIRECT(ADDRESS(2,COLUMN())),OFFSET($BN$2,0,0,ROW()-1,60),ROW()-1,FALSE))</f>
        <v>0</v>
      </c>
      <c r="AE65" t="str">
        <f ca="1">IF(AND(ISNUMBER($AE$264),$B$185=1),$AE$264,HLOOKUP(INDIRECT(ADDRESS(2,COLUMN())),OFFSET($BN$2,0,0,ROW()-1,60),ROW()-1,FALSE))</f>
        <v/>
      </c>
      <c r="AF65" t="str">
        <f ca="1">IF(AND(ISNUMBER($AF$264),$B$185=1),$AF$264,HLOOKUP(INDIRECT(ADDRESS(2,COLUMN())),OFFSET($BN$2,0,0,ROW()-1,60),ROW()-1,FALSE))</f>
        <v/>
      </c>
      <c r="AG65" t="str">
        <f ca="1">IF(AND(ISNUMBER($AG$264),$B$185=1),$AG$264,HLOOKUP(INDIRECT(ADDRESS(2,COLUMN())),OFFSET($BN$2,0,0,ROW()-1,60),ROW()-1,FALSE))</f>
        <v/>
      </c>
      <c r="AH65">
        <f ca="1">IF(AND(ISNUMBER($AH$264),$B$185=1),$AH$264,HLOOKUP(INDIRECT(ADDRESS(2,COLUMN())),OFFSET($BN$2,0,0,ROW()-1,60),ROW()-1,FALSE))</f>
        <v>0</v>
      </c>
      <c r="AI65" t="str">
        <f ca="1">IF(AND(ISNUMBER($AI$264),$B$185=1),$AI$264,HLOOKUP(INDIRECT(ADDRESS(2,COLUMN())),OFFSET($BN$2,0,0,ROW()-1,60),ROW()-1,FALSE))</f>
        <v/>
      </c>
      <c r="AJ65" t="str">
        <f ca="1">IF(AND(ISNUMBER($AJ$264),$B$185=1),$AJ$264,HLOOKUP(INDIRECT(ADDRESS(2,COLUMN())),OFFSET($BN$2,0,0,ROW()-1,60),ROW()-1,FALSE))</f>
        <v/>
      </c>
      <c r="AK65" t="str">
        <f ca="1">IF(AND(ISNUMBER($AK$264),$B$185=1),$AK$264,HLOOKUP(INDIRECT(ADDRESS(2,COLUMN())),OFFSET($BN$2,0,0,ROW()-1,60),ROW()-1,FALSE))</f>
        <v/>
      </c>
      <c r="AL65">
        <f ca="1">IF(AND(ISNUMBER($AL$264),$B$185=1),$AL$264,HLOOKUP(INDIRECT(ADDRESS(2,COLUMN())),OFFSET($BN$2,0,0,ROW()-1,60),ROW()-1,FALSE))</f>
        <v>0</v>
      </c>
      <c r="AM65" t="str">
        <f ca="1">IF(AND(ISNUMBER($AM$264),$B$185=1),$AM$264,HLOOKUP(INDIRECT(ADDRESS(2,COLUMN())),OFFSET($BN$2,0,0,ROW()-1,60),ROW()-1,FALSE))</f>
        <v/>
      </c>
      <c r="AN65" t="str">
        <f ca="1">IF(AND(ISNUMBER($AN$264),$B$185=1),$AN$264,HLOOKUP(INDIRECT(ADDRESS(2,COLUMN())),OFFSET($BN$2,0,0,ROW()-1,60),ROW()-1,FALSE))</f>
        <v/>
      </c>
      <c r="AO65" t="str">
        <f ca="1">IF(AND(ISNUMBER($AO$264),$B$185=1),$AO$264,HLOOKUP(INDIRECT(ADDRESS(2,COLUMN())),OFFSET($BN$2,0,0,ROW()-1,60),ROW()-1,FALSE))</f>
        <v/>
      </c>
      <c r="AP65">
        <f ca="1">IF(AND(ISNUMBER($AP$264),$B$185=1),$AP$264,HLOOKUP(INDIRECT(ADDRESS(2,COLUMN())),OFFSET($BN$2,0,0,ROW()-1,60),ROW()-1,FALSE))</f>
        <v>0.83699999999999997</v>
      </c>
      <c r="AQ65">
        <f ca="1">IF(AND(ISNUMBER($AQ$264),$B$185=1),$AQ$264,HLOOKUP(INDIRECT(ADDRESS(2,COLUMN())),OFFSET($BN$2,0,0,ROW()-1,60),ROW()-1,FALSE))</f>
        <v>879</v>
      </c>
      <c r="AR65">
        <f ca="1">IF(AND(ISNUMBER($AR$264),$B$185=1),$AR$264,HLOOKUP(INDIRECT(ADDRESS(2,COLUMN())),OFFSET($BN$2,0,0,ROW()-1,60),ROW()-1,FALSE))</f>
        <v>0.92200000000000004</v>
      </c>
      <c r="AS65">
        <f ca="1">IF(AND(ISNUMBER($AS$264),$B$185=1),$AS$264,HLOOKUP(INDIRECT(ADDRESS(2,COLUMN())),OFFSET($BN$2,0,0,ROW()-1,60),ROW()-1,FALSE))</f>
        <v>966</v>
      </c>
      <c r="AT65">
        <f ca="1">IF(AND(ISNUMBER($AT$264),$B$185=1),$AT$264,HLOOKUP(INDIRECT(ADDRESS(2,COLUMN())),OFFSET($BN$2,0,0,ROW()-1,60),ROW()-1,FALSE))</f>
        <v>1.0129999999999999</v>
      </c>
      <c r="AU65">
        <f ca="1">IF(AND(ISNUMBER($AU$264),$B$185=1),$AU$264,HLOOKUP(INDIRECT(ADDRESS(2,COLUMN())),OFFSET($BN$2,0,0,ROW()-1,60),ROW()-1,FALSE))</f>
        <v>1090</v>
      </c>
      <c r="AV65">
        <f ca="1">IF(AND(ISNUMBER($AV$264),$B$185=1),$AV$264,HLOOKUP(INDIRECT(ADDRESS(2,COLUMN())),OFFSET($BN$2,0,0,ROW()-1,60),ROW()-1,FALSE))</f>
        <v>1.456</v>
      </c>
      <c r="AW65">
        <f ca="1">IF(AND(ISNUMBER($AW$264),$B$185=1),$AW$264,HLOOKUP(INDIRECT(ADDRESS(2,COLUMN())),OFFSET($BN$2,0,0,ROW()-1,60),ROW()-1,FALSE))</f>
        <v>1679</v>
      </c>
      <c r="AX65">
        <f ca="1">IF(AND(ISNUMBER($AX$264),$B$185=1),$AX$264,HLOOKUP(INDIRECT(ADDRESS(2,COLUMN())),OFFSET($BN$2,0,0,ROW()-1,60),ROW()-1,FALSE))</f>
        <v>8.5120000000000005</v>
      </c>
      <c r="AY65">
        <f ca="1">IF(AND(ISNUMBER($AY$264),$B$185=1),$AY$264,HLOOKUP(INDIRECT(ADDRESS(2,COLUMN())),OFFSET($BN$2,0,0,ROW()-1,60),ROW()-1,FALSE))</f>
        <v>13784</v>
      </c>
      <c r="AZ65">
        <f ca="1">IF(AND(ISNUMBER($AZ$264),$B$185=1),$AZ$264,HLOOKUP(INDIRECT(ADDRESS(2,COLUMN())),OFFSET($BN$2,0,0,ROW()-1,60),ROW()-1,FALSE))</f>
        <v>16025</v>
      </c>
      <c r="BA65">
        <f ca="1">IF(AND(ISNUMBER($BA$264),$B$185=1),$BA$264,HLOOKUP(INDIRECT(ADDRESS(2,COLUMN())),OFFSET($BN$2,0,0,ROW()-1,60),ROW()-1,FALSE))</f>
        <v>17055</v>
      </c>
      <c r="BB65">
        <f ca="1">IF(AND(ISNUMBER($BB$264),$B$185=1),$BB$264,HLOOKUP(INDIRECT(ADDRESS(2,COLUMN())),OFFSET($BN$2,0,0,ROW()-1,60),ROW()-1,FALSE))</f>
        <v>16487</v>
      </c>
      <c r="BC65">
        <f ca="1">IF(AND(ISNUMBER($BC$264),$B$185=1),$BC$264,HLOOKUP(INDIRECT(ADDRESS(2,COLUMN())),OFFSET($BN$2,0,0,ROW()-1,60),ROW()-1,FALSE))</f>
        <v>17536</v>
      </c>
      <c r="BD65">
        <f ca="1">IF(AND(ISNUMBER($BD$264),$B$185=1),$BD$264,HLOOKUP(INDIRECT(ADDRESS(2,COLUMN())),OFFSET($BN$2,0,0,ROW()-1,60),ROW()-1,FALSE))</f>
        <v>20331</v>
      </c>
      <c r="BE65">
        <f ca="1">IF(AND(ISNUMBER($BE$264),$B$185=1),$BE$264,HLOOKUP(INDIRECT(ADDRESS(2,COLUMN())),OFFSET($BN$2,0,0,ROW()-1,60),ROW()-1,FALSE))</f>
        <v>21610</v>
      </c>
      <c r="BF65">
        <f ca="1">IF(AND(ISNUMBER($BF$264),$B$185=1),$BF$264,HLOOKUP(INDIRECT(ADDRESS(2,COLUMN())),OFFSET($BN$2,0,0,ROW()-1,60),ROW()-1,FALSE))</f>
        <v>21076.799999999999</v>
      </c>
      <c r="BG65">
        <f ca="1">IF(AND(ISNUMBER($BG$264),$B$185=1),$BG$264,HLOOKUP(INDIRECT(ADDRESS(2,COLUMN())),OFFSET($BN$2,0,0,ROW()-1,60),ROW()-1,FALSE))</f>
        <v>23650</v>
      </c>
      <c r="BH65">
        <f ca="1">IF(AND(ISNUMBER($BH$264),$B$185=1),$BH$264,HLOOKUP(INDIRECT(ADDRESS(2,COLUMN())),OFFSET($BN$2,0,0,ROW()-1,60),ROW()-1,FALSE))</f>
        <v>25223</v>
      </c>
      <c r="BI65">
        <f ca="1">IF(AND(ISNUMBER($BI$264),$B$185=1),$BI$264,HLOOKUP(INDIRECT(ADDRESS(2,COLUMN())),OFFSET($BN$2,0,0,ROW()-1,60),ROW()-1,FALSE))</f>
        <v>26452</v>
      </c>
      <c r="BJ65">
        <f ca="1">IF(AND(ISNUMBER($BJ$264),$B$185=1),$BJ$264,HLOOKUP(INDIRECT(ADDRESS(2,COLUMN())),OFFSET($BN$2,0,0,ROW()-1,60),ROW()-1,FALSE))</f>
        <v>27283.8</v>
      </c>
      <c r="BK65">
        <f ca="1">IF(AND(ISNUMBER($BK$264),$B$185=1),$BK$264,HLOOKUP(INDIRECT(ADDRESS(2,COLUMN())),OFFSET($BN$2,0,0,ROW()-1,60),ROW()-1,FALSE))</f>
        <v>29723</v>
      </c>
      <c r="BL65">
        <f ca="1">IF(AND(ISNUMBER($BL$264),$B$185=1),$BL$264,HLOOKUP(INDIRECT(ADDRESS(2,COLUMN())),OFFSET($BN$2,0,0,ROW()-1,60),ROW()-1,FALSE))</f>
        <v>31907</v>
      </c>
      <c r="BM65" t="str">
        <f ca="1">IF(AND(ISNUMBER($BM$264),$B$185=1),$BM$264,HLOOKUP(INDIRECT(ADDRESS(2,COLUMN())),OFFSET($BN$2,0,0,ROW()-1,60),ROW()-1,FALSE))</f>
        <v/>
      </c>
      <c r="BN65">
        <f>0</f>
        <v>0</v>
      </c>
      <c r="BO65" t="str">
        <f>""</f>
        <v/>
      </c>
      <c r="BP65" t="str">
        <f>""</f>
        <v/>
      </c>
      <c r="BQ65" t="str">
        <f>""</f>
        <v/>
      </c>
      <c r="BR65">
        <f>0</f>
        <v>0</v>
      </c>
      <c r="BS65" t="str">
        <f>""</f>
        <v/>
      </c>
      <c r="BT65" t="str">
        <f>""</f>
        <v/>
      </c>
      <c r="BU65" t="str">
        <f>""</f>
        <v/>
      </c>
      <c r="BV65">
        <f>0</f>
        <v>0</v>
      </c>
      <c r="BW65" t="str">
        <f>""</f>
        <v/>
      </c>
      <c r="BX65" t="str">
        <f>""</f>
        <v/>
      </c>
      <c r="BY65" t="str">
        <f>""</f>
        <v/>
      </c>
      <c r="BZ65">
        <f>0</f>
        <v>0</v>
      </c>
      <c r="CA65" t="str">
        <f>""</f>
        <v/>
      </c>
      <c r="CB65" t="str">
        <f>""</f>
        <v/>
      </c>
      <c r="CC65" t="str">
        <f>""</f>
        <v/>
      </c>
      <c r="CD65">
        <f>0</f>
        <v>0</v>
      </c>
      <c r="CE65" t="str">
        <f>""</f>
        <v/>
      </c>
      <c r="CF65" t="str">
        <f>""</f>
        <v/>
      </c>
      <c r="CG65" t="str">
        <f>""</f>
        <v/>
      </c>
      <c r="CH65">
        <f>0</f>
        <v>0</v>
      </c>
      <c r="CI65" t="str">
        <f>""</f>
        <v/>
      </c>
      <c r="CJ65" t="str">
        <f>""</f>
        <v/>
      </c>
      <c r="CK65" t="str">
        <f>""</f>
        <v/>
      </c>
      <c r="CL65">
        <f>0</f>
        <v>0</v>
      </c>
      <c r="CM65" t="str">
        <f>""</f>
        <v/>
      </c>
      <c r="CN65" t="str">
        <f>""</f>
        <v/>
      </c>
      <c r="CO65" t="str">
        <f>""</f>
        <v/>
      </c>
      <c r="CP65">
        <f>0</f>
        <v>0</v>
      </c>
      <c r="CQ65" t="str">
        <f>""</f>
        <v/>
      </c>
      <c r="CR65" t="str">
        <f>""</f>
        <v/>
      </c>
      <c r="CS65" t="str">
        <f>""</f>
        <v/>
      </c>
      <c r="CT65">
        <f>0</f>
        <v>0</v>
      </c>
      <c r="CU65" t="str">
        <f>""</f>
        <v/>
      </c>
      <c r="CV65" t="str">
        <f>""</f>
        <v/>
      </c>
      <c r="CW65" t="str">
        <f>""</f>
        <v/>
      </c>
      <c r="CX65">
        <f>0.837</f>
        <v>0.83699999999999997</v>
      </c>
      <c r="CY65">
        <f>879</f>
        <v>879</v>
      </c>
      <c r="CZ65">
        <f>0.922</f>
        <v>0.92200000000000004</v>
      </c>
      <c r="DA65">
        <f>966</f>
        <v>966</v>
      </c>
      <c r="DB65">
        <f>1.013</f>
        <v>1.0129999999999999</v>
      </c>
      <c r="DC65">
        <f>1090</f>
        <v>1090</v>
      </c>
      <c r="DD65">
        <f>1.456</f>
        <v>1.456</v>
      </c>
      <c r="DE65">
        <f>1679</f>
        <v>1679</v>
      </c>
      <c r="DF65">
        <f>8.512</f>
        <v>8.5120000000000005</v>
      </c>
      <c r="DG65">
        <f>13784</f>
        <v>13784</v>
      </c>
      <c r="DH65">
        <f>16025</f>
        <v>16025</v>
      </c>
      <c r="DI65">
        <f>17055</f>
        <v>17055</v>
      </c>
      <c r="DJ65">
        <f>16487</f>
        <v>16487</v>
      </c>
      <c r="DK65">
        <f>17536</f>
        <v>17536</v>
      </c>
      <c r="DL65">
        <f>20331</f>
        <v>20331</v>
      </c>
      <c r="DM65">
        <f>21610</f>
        <v>21610</v>
      </c>
      <c r="DN65">
        <f>21076.8</f>
        <v>21076.799999999999</v>
      </c>
      <c r="DO65">
        <f>23650</f>
        <v>23650</v>
      </c>
      <c r="DP65">
        <f>25223</f>
        <v>25223</v>
      </c>
      <c r="DQ65">
        <f>26452</f>
        <v>26452</v>
      </c>
      <c r="DR65">
        <f>27283.8</f>
        <v>27283.8</v>
      </c>
      <c r="DS65">
        <f>29723</f>
        <v>29723</v>
      </c>
      <c r="DT65">
        <f>31907</f>
        <v>31907</v>
      </c>
      <c r="DU65" t="str">
        <f>""</f>
        <v/>
      </c>
    </row>
    <row r="66" spans="1:125">
      <c r="A66" t="str">
        <f>"    First Republic Bank/CA"</f>
        <v xml:space="preserve">    First Republic Bank/CA</v>
      </c>
      <c r="B66" t="str">
        <f>"FRCB US Equity"</f>
        <v>FRCB US Equity</v>
      </c>
      <c r="C66" t="str">
        <f t="shared" si="7"/>
        <v>BS962</v>
      </c>
      <c r="D66" t="str">
        <f t="shared" si="8"/>
        <v>BS_RSD_MTG_SRVC_PORTFOLIO</v>
      </c>
      <c r="E66" t="str">
        <f t="shared" si="9"/>
        <v>Dynamic</v>
      </c>
      <c r="F66" t="str">
        <f ca="1">IF(AND(ISNUMBER($F$265),$B$185=1),$F$265,HLOOKUP(INDIRECT(ADDRESS(2,COLUMN())),OFFSET($BN$2,0,0,ROW()-1,60),ROW()-1,FALSE))</f>
        <v/>
      </c>
      <c r="G66" t="str">
        <f ca="1">IF(AND(ISNUMBER($G$265),$B$185=1),$G$265,HLOOKUP(INDIRECT(ADDRESS(2,COLUMN())),OFFSET($BN$2,0,0,ROW()-1,60),ROW()-1,FALSE))</f>
        <v/>
      </c>
      <c r="H66" t="str">
        <f ca="1">IF(AND(ISNUMBER($H$265),$B$185=1),$H$265,HLOOKUP(INDIRECT(ADDRESS(2,COLUMN())),OFFSET($BN$2,0,0,ROW()-1,60),ROW()-1,FALSE))</f>
        <v/>
      </c>
      <c r="I66" t="str">
        <f ca="1">IF(AND(ISNUMBER($I$265),$B$185=1),$I$265,HLOOKUP(INDIRECT(ADDRESS(2,COLUMN())),OFFSET($BN$2,0,0,ROW()-1,60),ROW()-1,FALSE))</f>
        <v/>
      </c>
      <c r="J66" t="str">
        <f ca="1">IF(AND(ISNUMBER($J$265),$B$185=1),$J$265,HLOOKUP(INDIRECT(ADDRESS(2,COLUMN())),OFFSET($BN$2,0,0,ROW()-1,60),ROW()-1,FALSE))</f>
        <v/>
      </c>
      <c r="K66" t="str">
        <f ca="1">IF(AND(ISNUMBER($K$265),$B$185=1),$K$265,HLOOKUP(INDIRECT(ADDRESS(2,COLUMN())),OFFSET($BN$2,0,0,ROW()-1,60),ROW()-1,FALSE))</f>
        <v/>
      </c>
      <c r="L66" t="str">
        <f ca="1">IF(AND(ISNUMBER($L$265),$B$185=1),$L$265,HLOOKUP(INDIRECT(ADDRESS(2,COLUMN())),OFFSET($BN$2,0,0,ROW()-1,60),ROW()-1,FALSE))</f>
        <v/>
      </c>
      <c r="M66" t="str">
        <f ca="1">IF(AND(ISNUMBER($M$265),$B$185=1),$M$265,HLOOKUP(INDIRECT(ADDRESS(2,COLUMN())),OFFSET($BN$2,0,0,ROW()-1,60),ROW()-1,FALSE))</f>
        <v/>
      </c>
      <c r="N66" t="str">
        <f ca="1">IF(AND(ISNUMBER($N$265),$B$185=1),$N$265,HLOOKUP(INDIRECT(ADDRESS(2,COLUMN())),OFFSET($BN$2,0,0,ROW()-1,60),ROW()-1,FALSE))</f>
        <v/>
      </c>
      <c r="O66" t="str">
        <f ca="1">IF(AND(ISNUMBER($O$265),$B$185=1),$O$265,HLOOKUP(INDIRECT(ADDRESS(2,COLUMN())),OFFSET($BN$2,0,0,ROW()-1,60),ROW()-1,FALSE))</f>
        <v/>
      </c>
      <c r="P66" t="str">
        <f ca="1">IF(AND(ISNUMBER($P$265),$B$185=1),$P$265,HLOOKUP(INDIRECT(ADDRESS(2,COLUMN())),OFFSET($BN$2,0,0,ROW()-1,60),ROW()-1,FALSE))</f>
        <v/>
      </c>
      <c r="Q66" t="str">
        <f ca="1">IF(AND(ISNUMBER($Q$265),$B$185=1),$Q$265,HLOOKUP(INDIRECT(ADDRESS(2,COLUMN())),OFFSET($BN$2,0,0,ROW()-1,60),ROW()-1,FALSE))</f>
        <v/>
      </c>
      <c r="R66" t="str">
        <f ca="1">IF(AND(ISNUMBER($R$265),$B$185=1),$R$265,HLOOKUP(INDIRECT(ADDRESS(2,COLUMN())),OFFSET($BN$2,0,0,ROW()-1,60),ROW()-1,FALSE))</f>
        <v/>
      </c>
      <c r="S66" t="str">
        <f ca="1">IF(AND(ISNUMBER($S$265),$B$185=1),$S$265,HLOOKUP(INDIRECT(ADDRESS(2,COLUMN())),OFFSET($BN$2,0,0,ROW()-1,60),ROW()-1,FALSE))</f>
        <v/>
      </c>
      <c r="T66" t="str">
        <f ca="1">IF(AND(ISNUMBER($T$265),$B$185=1),$T$265,HLOOKUP(INDIRECT(ADDRESS(2,COLUMN())),OFFSET($BN$2,0,0,ROW()-1,60),ROW()-1,FALSE))</f>
        <v/>
      </c>
      <c r="U66" t="str">
        <f ca="1">IF(AND(ISNUMBER($U$265),$B$185=1),$U$265,HLOOKUP(INDIRECT(ADDRESS(2,COLUMN())),OFFSET($BN$2,0,0,ROW()-1,60),ROW()-1,FALSE))</f>
        <v/>
      </c>
      <c r="V66" t="str">
        <f ca="1">IF(AND(ISNUMBER($V$265),$B$185=1),$V$265,HLOOKUP(INDIRECT(ADDRESS(2,COLUMN())),OFFSET($BN$2,0,0,ROW()-1,60),ROW()-1,FALSE))</f>
        <v/>
      </c>
      <c r="W66" t="str">
        <f ca="1">IF(AND(ISNUMBER($W$265),$B$185=1),$W$265,HLOOKUP(INDIRECT(ADDRESS(2,COLUMN())),OFFSET($BN$2,0,0,ROW()-1,60),ROW()-1,FALSE))</f>
        <v/>
      </c>
      <c r="X66" t="str">
        <f ca="1">IF(AND(ISNUMBER($X$265),$B$185=1),$X$265,HLOOKUP(INDIRECT(ADDRESS(2,COLUMN())),OFFSET($BN$2,0,0,ROW()-1,60),ROW()-1,FALSE))</f>
        <v/>
      </c>
      <c r="Y66" t="str">
        <f ca="1">IF(AND(ISNUMBER($Y$265),$B$185=1),$Y$265,HLOOKUP(INDIRECT(ADDRESS(2,COLUMN())),OFFSET($BN$2,0,0,ROW()-1,60),ROW()-1,FALSE))</f>
        <v/>
      </c>
      <c r="Z66" t="str">
        <f ca="1">IF(AND(ISNUMBER($Z$265),$B$185=1),$Z$265,HLOOKUP(INDIRECT(ADDRESS(2,COLUMN())),OFFSET($BN$2,0,0,ROW()-1,60),ROW()-1,FALSE))</f>
        <v/>
      </c>
      <c r="AA66" t="str">
        <f ca="1">IF(AND(ISNUMBER($AA$265),$B$185=1),$AA$265,HLOOKUP(INDIRECT(ADDRESS(2,COLUMN())),OFFSET($BN$2,0,0,ROW()-1,60),ROW()-1,FALSE))</f>
        <v/>
      </c>
      <c r="AB66" t="str">
        <f ca="1">IF(AND(ISNUMBER($AB$265),$B$185=1),$AB$265,HLOOKUP(INDIRECT(ADDRESS(2,COLUMN())),OFFSET($BN$2,0,0,ROW()-1,60),ROW()-1,FALSE))</f>
        <v/>
      </c>
      <c r="AC66" t="str">
        <f ca="1">IF(AND(ISNUMBER($AC$265),$B$185=1),$AC$265,HLOOKUP(INDIRECT(ADDRESS(2,COLUMN())),OFFSET($BN$2,0,0,ROW()-1,60),ROW()-1,FALSE))</f>
        <v/>
      </c>
      <c r="AD66" t="str">
        <f ca="1">IF(AND(ISNUMBER($AD$265),$B$185=1),$AD$265,HLOOKUP(INDIRECT(ADDRESS(2,COLUMN())),OFFSET($BN$2,0,0,ROW()-1,60),ROW()-1,FALSE))</f>
        <v/>
      </c>
      <c r="AE66" t="str">
        <f ca="1">IF(AND(ISNUMBER($AE$265),$B$185=1),$AE$265,HLOOKUP(INDIRECT(ADDRESS(2,COLUMN())),OFFSET($BN$2,0,0,ROW()-1,60),ROW()-1,FALSE))</f>
        <v/>
      </c>
      <c r="AF66" t="str">
        <f ca="1">IF(AND(ISNUMBER($AF$265),$B$185=1),$AF$265,HLOOKUP(INDIRECT(ADDRESS(2,COLUMN())),OFFSET($BN$2,0,0,ROW()-1,60),ROW()-1,FALSE))</f>
        <v/>
      </c>
      <c r="AG66" t="str">
        <f ca="1">IF(AND(ISNUMBER($AG$265),$B$185=1),$AG$265,HLOOKUP(INDIRECT(ADDRESS(2,COLUMN())),OFFSET($BN$2,0,0,ROW()-1,60),ROW()-1,FALSE))</f>
        <v/>
      </c>
      <c r="AH66" t="str">
        <f ca="1">IF(AND(ISNUMBER($AH$265),$B$185=1),$AH$265,HLOOKUP(INDIRECT(ADDRESS(2,COLUMN())),OFFSET($BN$2,0,0,ROW()-1,60),ROW()-1,FALSE))</f>
        <v/>
      </c>
      <c r="AI66" t="str">
        <f ca="1">IF(AND(ISNUMBER($AI$265),$B$185=1),$AI$265,HLOOKUP(INDIRECT(ADDRESS(2,COLUMN())),OFFSET($BN$2,0,0,ROW()-1,60),ROW()-1,FALSE))</f>
        <v/>
      </c>
      <c r="AJ66" t="str">
        <f ca="1">IF(AND(ISNUMBER($AJ$265),$B$185=1),$AJ$265,HLOOKUP(INDIRECT(ADDRESS(2,COLUMN())),OFFSET($BN$2,0,0,ROW()-1,60),ROW()-1,FALSE))</f>
        <v/>
      </c>
      <c r="AK66" t="str">
        <f ca="1">IF(AND(ISNUMBER($AK$265),$B$185=1),$AK$265,HLOOKUP(INDIRECT(ADDRESS(2,COLUMN())),OFFSET($BN$2,0,0,ROW()-1,60),ROW()-1,FALSE))</f>
        <v/>
      </c>
      <c r="AL66" t="str">
        <f ca="1">IF(AND(ISNUMBER($AL$265),$B$185=1),$AL$265,HLOOKUP(INDIRECT(ADDRESS(2,COLUMN())),OFFSET($BN$2,0,0,ROW()-1,60),ROW()-1,FALSE))</f>
        <v/>
      </c>
      <c r="AM66" t="str">
        <f ca="1">IF(AND(ISNUMBER($AM$265),$B$185=1),$AM$265,HLOOKUP(INDIRECT(ADDRESS(2,COLUMN())),OFFSET($BN$2,0,0,ROW()-1,60),ROW()-1,FALSE))</f>
        <v/>
      </c>
      <c r="AN66" t="str">
        <f ca="1">IF(AND(ISNUMBER($AN$265),$B$185=1),$AN$265,HLOOKUP(INDIRECT(ADDRESS(2,COLUMN())),OFFSET($BN$2,0,0,ROW()-1,60),ROW()-1,FALSE))</f>
        <v/>
      </c>
      <c r="AO66" t="str">
        <f ca="1">IF(AND(ISNUMBER($AO$265),$B$185=1),$AO$265,HLOOKUP(INDIRECT(ADDRESS(2,COLUMN())),OFFSET($BN$2,0,0,ROW()-1,60),ROW()-1,FALSE))</f>
        <v/>
      </c>
      <c r="AP66" t="str">
        <f ca="1">IF(AND(ISNUMBER($AP$265),$B$185=1),$AP$265,HLOOKUP(INDIRECT(ADDRESS(2,COLUMN())),OFFSET($BN$2,0,0,ROW()-1,60),ROW()-1,FALSE))</f>
        <v/>
      </c>
      <c r="AQ66" t="str">
        <f ca="1">IF(AND(ISNUMBER($AQ$265),$B$185=1),$AQ$265,HLOOKUP(INDIRECT(ADDRESS(2,COLUMN())),OFFSET($BN$2,0,0,ROW()-1,60),ROW()-1,FALSE))</f>
        <v/>
      </c>
      <c r="AR66" t="str">
        <f ca="1">IF(AND(ISNUMBER($AR$265),$B$185=1),$AR$265,HLOOKUP(INDIRECT(ADDRESS(2,COLUMN())),OFFSET($BN$2,0,0,ROW()-1,60),ROW()-1,FALSE))</f>
        <v/>
      </c>
      <c r="AS66" t="str">
        <f ca="1">IF(AND(ISNUMBER($AS$265),$B$185=1),$AS$265,HLOOKUP(INDIRECT(ADDRESS(2,COLUMN())),OFFSET($BN$2,0,0,ROW()-1,60),ROW()-1,FALSE))</f>
        <v/>
      </c>
      <c r="AT66" t="str">
        <f ca="1">IF(AND(ISNUMBER($AT$265),$B$185=1),$AT$265,HLOOKUP(INDIRECT(ADDRESS(2,COLUMN())),OFFSET($BN$2,0,0,ROW()-1,60),ROW()-1,FALSE))</f>
        <v/>
      </c>
      <c r="AU66" t="str">
        <f ca="1">IF(AND(ISNUMBER($AU$265),$B$185=1),$AU$265,HLOOKUP(INDIRECT(ADDRESS(2,COLUMN())),OFFSET($BN$2,0,0,ROW()-1,60),ROW()-1,FALSE))</f>
        <v/>
      </c>
      <c r="AV66" t="str">
        <f ca="1">IF(AND(ISNUMBER($AV$265),$B$185=1),$AV$265,HLOOKUP(INDIRECT(ADDRESS(2,COLUMN())),OFFSET($BN$2,0,0,ROW()-1,60),ROW()-1,FALSE))</f>
        <v/>
      </c>
      <c r="AW66" t="str">
        <f ca="1">IF(AND(ISNUMBER($AW$265),$B$185=1),$AW$265,HLOOKUP(INDIRECT(ADDRESS(2,COLUMN())),OFFSET($BN$2,0,0,ROW()-1,60),ROW()-1,FALSE))</f>
        <v/>
      </c>
      <c r="AX66" t="str">
        <f ca="1">IF(AND(ISNUMBER($AX$265),$B$185=1),$AX$265,HLOOKUP(INDIRECT(ADDRESS(2,COLUMN())),OFFSET($BN$2,0,0,ROW()-1,60),ROW()-1,FALSE))</f>
        <v/>
      </c>
      <c r="AY66" t="str">
        <f ca="1">IF(AND(ISNUMBER($AY$265),$B$185=1),$AY$265,HLOOKUP(INDIRECT(ADDRESS(2,COLUMN())),OFFSET($BN$2,0,0,ROW()-1,60),ROW()-1,FALSE))</f>
        <v/>
      </c>
      <c r="AZ66" t="str">
        <f ca="1">IF(AND(ISNUMBER($AZ$265),$B$185=1),$AZ$265,HLOOKUP(INDIRECT(ADDRESS(2,COLUMN())),OFFSET($BN$2,0,0,ROW()-1,60),ROW()-1,FALSE))</f>
        <v/>
      </c>
      <c r="BA66" t="str">
        <f ca="1">IF(AND(ISNUMBER($BA$265),$B$185=1),$BA$265,HLOOKUP(INDIRECT(ADDRESS(2,COLUMN())),OFFSET($BN$2,0,0,ROW()-1,60),ROW()-1,FALSE))</f>
        <v/>
      </c>
      <c r="BB66" t="str">
        <f ca="1">IF(AND(ISNUMBER($BB$265),$B$185=1),$BB$265,HLOOKUP(INDIRECT(ADDRESS(2,COLUMN())),OFFSET($BN$2,0,0,ROW()-1,60),ROW()-1,FALSE))</f>
        <v/>
      </c>
      <c r="BC66" t="str">
        <f ca="1">IF(AND(ISNUMBER($BC$265),$B$185=1),$BC$265,HLOOKUP(INDIRECT(ADDRESS(2,COLUMN())),OFFSET($BN$2,0,0,ROW()-1,60),ROW()-1,FALSE))</f>
        <v/>
      </c>
      <c r="BD66" t="str">
        <f ca="1">IF(AND(ISNUMBER($BD$265),$B$185=1),$BD$265,HLOOKUP(INDIRECT(ADDRESS(2,COLUMN())),OFFSET($BN$2,0,0,ROW()-1,60),ROW()-1,FALSE))</f>
        <v/>
      </c>
      <c r="BE66" t="str">
        <f ca="1">IF(AND(ISNUMBER($BE$265),$B$185=1),$BE$265,HLOOKUP(INDIRECT(ADDRESS(2,COLUMN())),OFFSET($BN$2,0,0,ROW()-1,60),ROW()-1,FALSE))</f>
        <v/>
      </c>
      <c r="BF66" t="str">
        <f ca="1">IF(AND(ISNUMBER($BF$265),$B$185=1),$BF$265,HLOOKUP(INDIRECT(ADDRESS(2,COLUMN())),OFFSET($BN$2,0,0,ROW()-1,60),ROW()-1,FALSE))</f>
        <v/>
      </c>
      <c r="BG66" t="str">
        <f ca="1">IF(AND(ISNUMBER($BG$265),$B$185=1),$BG$265,HLOOKUP(INDIRECT(ADDRESS(2,COLUMN())),OFFSET($BN$2,0,0,ROW()-1,60),ROW()-1,FALSE))</f>
        <v/>
      </c>
      <c r="BH66" t="str">
        <f ca="1">IF(AND(ISNUMBER($BH$265),$B$185=1),$BH$265,HLOOKUP(INDIRECT(ADDRESS(2,COLUMN())),OFFSET($BN$2,0,0,ROW()-1,60),ROW()-1,FALSE))</f>
        <v/>
      </c>
      <c r="BI66" t="str">
        <f ca="1">IF(AND(ISNUMBER($BI$265),$B$185=1),$BI$265,HLOOKUP(INDIRECT(ADDRESS(2,COLUMN())),OFFSET($BN$2,0,0,ROW()-1,60),ROW()-1,FALSE))</f>
        <v/>
      </c>
      <c r="BJ66" t="str">
        <f ca="1">IF(AND(ISNUMBER($BJ$265),$B$185=1),$BJ$265,HLOOKUP(INDIRECT(ADDRESS(2,COLUMN())),OFFSET($BN$2,0,0,ROW()-1,60),ROW()-1,FALSE))</f>
        <v/>
      </c>
      <c r="BK66" t="str">
        <f ca="1">IF(AND(ISNUMBER($BK$265),$B$185=1),$BK$265,HLOOKUP(INDIRECT(ADDRESS(2,COLUMN())),OFFSET($BN$2,0,0,ROW()-1,60),ROW()-1,FALSE))</f>
        <v/>
      </c>
      <c r="BL66" t="str">
        <f ca="1">IF(AND(ISNUMBER($BL$265),$B$185=1),$BL$265,HLOOKUP(INDIRECT(ADDRESS(2,COLUMN())),OFFSET($BN$2,0,0,ROW()-1,60),ROW()-1,FALSE))</f>
        <v/>
      </c>
      <c r="BM66" t="str">
        <f ca="1">IF(AND(ISNUMBER($BM$265),$B$185=1),$BM$265,HLOOKUP(INDIRECT(ADDRESS(2,COLUMN())),OFFSET($BN$2,0,0,ROW()-1,60),ROW()-1,FALSE))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 t="str">
        <f>""</f>
        <v/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>
      <c r="A67" t="str">
        <f>"    Fifth Third Bancorp"</f>
        <v xml:space="preserve">    Fifth Third Bancorp</v>
      </c>
      <c r="B67" t="str">
        <f>"FITB US Equity"</f>
        <v>FITB US Equity</v>
      </c>
      <c r="C67" t="str">
        <f t="shared" si="7"/>
        <v>BS962</v>
      </c>
      <c r="D67" t="str">
        <f t="shared" si="8"/>
        <v>BS_RSD_MTG_SRVC_PORTFOLIO</v>
      </c>
      <c r="E67" t="str">
        <f t="shared" si="9"/>
        <v>Dynamic</v>
      </c>
      <c r="F67">
        <f ca="1">IF(AND(ISNUMBER($F$266),$B$185=1),$F$266,HLOOKUP(INDIRECT(ADDRESS(2,COLUMN())),OFFSET($BN$2,0,0,ROW()-1,60),ROW()-1,FALSE))</f>
        <v>94225</v>
      </c>
      <c r="G67">
        <f ca="1">IF(AND(ISNUMBER($G$266),$B$185=1),$G$266,HLOOKUP(INDIRECT(ADDRESS(2,COLUMN())),OFFSET($BN$2,0,0,ROW()-1,60),ROW()-1,FALSE))</f>
        <v>95808</v>
      </c>
      <c r="H67">
        <f ca="1">IF(AND(ISNUMBER($H$266),$B$185=1),$H$266,HLOOKUP(INDIRECT(ADDRESS(2,COLUMN())),OFFSET($BN$2,0,0,ROW()-1,60),ROW()-1,FALSE))</f>
        <v>97280</v>
      </c>
      <c r="I67">
        <f ca="1">IF(AND(ISNUMBER($I$266),$B$185=1),$I$266,HLOOKUP(INDIRECT(ADDRESS(2,COLUMN())),OFFSET($BN$2,0,0,ROW()-1,60),ROW()-1,FALSE))</f>
        <v>99596</v>
      </c>
      <c r="J67">
        <f ca="1">IF(AND(ISNUMBER($J$266),$B$185=1),$J$266,HLOOKUP(INDIRECT(ADDRESS(2,COLUMN())),OFFSET($BN$2,0,0,ROW()-1,60),ROW()-1,FALSE))</f>
        <v>100842</v>
      </c>
      <c r="K67">
        <f ca="1">IF(AND(ISNUMBER($K$266),$B$185=1),$K$266,HLOOKUP(INDIRECT(ADDRESS(2,COLUMN())),OFFSET($BN$2,0,0,ROW()-1,60),ROW()-1,FALSE))</f>
        <v>101889</v>
      </c>
      <c r="L67">
        <f ca="1">IF(AND(ISNUMBER($L$266),$B$185=1),$L$266,HLOOKUP(INDIRECT(ADDRESS(2,COLUMN())),OFFSET($BN$2,0,0,ROW()-1,60),ROW()-1,FALSE))</f>
        <v>102817</v>
      </c>
      <c r="M67">
        <f ca="1">IF(AND(ISNUMBER($M$266),$B$185=1),$M$266,HLOOKUP(INDIRECT(ADDRESS(2,COLUMN())),OFFSET($BN$2,0,0,ROW()-1,60),ROW()-1,FALSE))</f>
        <v>103399</v>
      </c>
      <c r="N67">
        <f ca="1">IF(AND(ISNUMBER($N$266),$B$185=1),$N$266,HLOOKUP(INDIRECT(ADDRESS(2,COLUMN())),OFFSET($BN$2,0,0,ROW()-1,60),ROW()-1,FALSE))</f>
        <v>103154</v>
      </c>
      <c r="O67">
        <f ca="1">IF(AND(ISNUMBER($O$266),$B$185=1),$O$266,HLOOKUP(INDIRECT(ADDRESS(2,COLUMN())),OFFSET($BN$2,0,0,ROW()-1,60),ROW()-1,FALSE))</f>
        <v>102696</v>
      </c>
      <c r="P67">
        <f ca="1">IF(AND(ISNUMBER($P$266),$B$185=1),$P$266,HLOOKUP(INDIRECT(ADDRESS(2,COLUMN())),OFFSET($BN$2,0,0,ROW()-1,60),ROW()-1,FALSE))</f>
        <v>100519</v>
      </c>
      <c r="Q67">
        <f ca="1">IF(AND(ISNUMBER($Q$266),$B$185=1),$Q$266,HLOOKUP(INDIRECT(ADDRESS(2,COLUMN())),OFFSET($BN$2,0,0,ROW()-1,60),ROW()-1,FALSE))</f>
        <v>97736</v>
      </c>
      <c r="R67">
        <f ca="1">IF(AND(ISNUMBER($R$266),$B$185=1),$R$266,HLOOKUP(INDIRECT(ADDRESS(2,COLUMN())),OFFSET($BN$2,0,0,ROW()-1,60),ROW()-1,FALSE))</f>
        <v>89234</v>
      </c>
      <c r="S67">
        <f ca="1">IF(AND(ISNUMBER($S$266),$B$185=1),$S$266,HLOOKUP(INDIRECT(ADDRESS(2,COLUMN())),OFFSET($BN$2,0,0,ROW()-1,60),ROW()-1,FALSE))</f>
        <v>92700</v>
      </c>
      <c r="T67">
        <f ca="1">IF(AND(ISNUMBER($T$266),$B$185=1),$T$266,HLOOKUP(INDIRECT(ADDRESS(2,COLUMN())),OFFSET($BN$2,0,0,ROW()-1,60),ROW()-1,FALSE))</f>
        <v>93</v>
      </c>
      <c r="U67">
        <f ca="1">IF(AND(ISNUMBER($U$266),$B$185=1),$U$266,HLOOKUP(INDIRECT(ADDRESS(2,COLUMN())),OFFSET($BN$2,0,0,ROW()-1,60),ROW()-1,FALSE))</f>
        <v>65922</v>
      </c>
      <c r="V67">
        <f ca="1">IF(AND(ISNUMBER($V$266),$B$185=1),$V$266,HLOOKUP(INDIRECT(ADDRESS(2,COLUMN())),OFFSET($BN$2,0,0,ROW()-1,60),ROW()-1,FALSE))</f>
        <v>86600</v>
      </c>
      <c r="W67">
        <f ca="1">IF(AND(ISNUMBER($W$266),$B$185=1),$W$266,HLOOKUP(INDIRECT(ADDRESS(2,COLUMN())),OFFSET($BN$2,0,0,ROW()-1,60),ROW()-1,FALSE))</f>
        <v>91400</v>
      </c>
      <c r="X67">
        <f ca="1">IF(AND(ISNUMBER($X$266),$B$185=1),$X$266,HLOOKUP(INDIRECT(ADDRESS(2,COLUMN())),OFFSET($BN$2,0,0,ROW()-1,60),ROW()-1,FALSE))</f>
        <v>95400</v>
      </c>
      <c r="Y67">
        <f ca="1">IF(AND(ISNUMBER($Y$266),$B$185=1),$Y$266,HLOOKUP(INDIRECT(ADDRESS(2,COLUMN())),OFFSET($BN$2,0,0,ROW()-1,60),ROW()-1,FALSE))</f>
        <v>81901</v>
      </c>
      <c r="Z67">
        <f ca="1">IF(AND(ISNUMBER($Z$266),$B$185=1),$Z$266,HLOOKUP(INDIRECT(ADDRESS(2,COLUMN())),OFFSET($BN$2,0,0,ROW()-1,60),ROW()-1,FALSE))</f>
        <v>98400</v>
      </c>
      <c r="AA67">
        <f ca="1">IF(AND(ISNUMBER($AA$266),$B$185=1),$AA$266,HLOOKUP(INDIRECT(ADDRESS(2,COLUMN())),OFFSET($BN$2,0,0,ROW()-1,60),ROW()-1,FALSE))</f>
        <v>82702</v>
      </c>
      <c r="AB67">
        <f ca="1">IF(AND(ISNUMBER($AB$266),$B$185=1),$AB$266,HLOOKUP(INDIRECT(ADDRESS(2,COLUMN())),OFFSET($BN$2,0,0,ROW()-1,60),ROW()-1,FALSE))</f>
        <v>102400</v>
      </c>
      <c r="AC67">
        <f ca="1">IF(AND(ISNUMBER($AC$266),$B$185=1),$AC$266,HLOOKUP(INDIRECT(ADDRESS(2,COLUMN())),OFFSET($BN$2,0,0,ROW()-1,60),ROW()-1,FALSE))</f>
        <v>83900</v>
      </c>
      <c r="AD67">
        <f ca="1">IF(AND(ISNUMBER($AD$266),$B$185=1),$AD$266,HLOOKUP(INDIRECT(ADDRESS(2,COLUMN())),OFFSET($BN$2,0,0,ROW()-1,60),ROW()-1,FALSE))</f>
        <v>79200</v>
      </c>
      <c r="AE67">
        <f ca="1">IF(AND(ISNUMBER($AE$266),$B$185=1),$AE$266,HLOOKUP(INDIRECT(ADDRESS(2,COLUMN())),OFFSET($BN$2,0,0,ROW()-1,60),ROW()-1,FALSE))</f>
        <v>63996</v>
      </c>
      <c r="AF67">
        <f ca="1">IF(AND(ISNUMBER($AF$266),$B$185=1),$AF$266,HLOOKUP(INDIRECT(ADDRESS(2,COLUMN())),OFFSET($BN$2,0,0,ROW()-1,60),ROW()-1,FALSE))</f>
        <v>62200</v>
      </c>
      <c r="AG67">
        <f ca="1">IF(AND(ISNUMBER($AG$266),$B$185=1),$AG$266,HLOOKUP(INDIRECT(ADDRESS(2,COLUMN())),OFFSET($BN$2,0,0,ROW()-1,60),ROW()-1,FALSE))</f>
        <v>77200</v>
      </c>
      <c r="AH67">
        <f ca="1">IF(AND(ISNUMBER($AH$266),$B$185=1),$AH$266,HLOOKUP(INDIRECT(ADDRESS(2,COLUMN())),OFFSET($BN$2,0,0,ROW()-1,60),ROW()-1,FALSE))</f>
        <v>76100</v>
      </c>
      <c r="AI67">
        <f ca="1">IF(AND(ISNUMBER($AI$266),$B$185=1),$AI$266,HLOOKUP(INDIRECT(ADDRESS(2,COLUMN())),OFFSET($BN$2,0,0,ROW()-1,60),ROW()-1,FALSE))</f>
        <v>77100</v>
      </c>
      <c r="AJ67">
        <f ca="1">IF(AND(ISNUMBER($AJ$266),$B$185=1),$AJ$266,HLOOKUP(INDIRECT(ADDRESS(2,COLUMN())),OFFSET($BN$2,0,0,ROW()-1,60),ROW()-1,FALSE))</f>
        <v>78000</v>
      </c>
      <c r="AK67">
        <f ca="1">IF(AND(ISNUMBER($AK$266),$B$185=1),$AK$266,HLOOKUP(INDIRECT(ADDRESS(2,COLUMN())),OFFSET($BN$2,0,0,ROW()-1,60),ROW()-1,FALSE))</f>
        <v>71400</v>
      </c>
      <c r="AL67">
        <f ca="1">IF(AND(ISNUMBER($AL$266),$B$185=1),$AL$266,HLOOKUP(INDIRECT(ADDRESS(2,COLUMN())),OFFSET($BN$2,0,0,ROW()-1,60),ROW()-1,FALSE))</f>
        <v>69300</v>
      </c>
      <c r="AM67">
        <f ca="1">IF(AND(ISNUMBER($AM$266),$B$185=1),$AM$266,HLOOKUP(INDIRECT(ADDRESS(2,COLUMN())),OFFSET($BN$2,0,0,ROW()-1,60),ROW()-1,FALSE))</f>
        <v>70200</v>
      </c>
      <c r="AN67">
        <f ca="1">IF(AND(ISNUMBER($AN$266),$B$185=1),$AN$266,HLOOKUP(INDIRECT(ADDRESS(2,COLUMN())),OFFSET($BN$2,0,0,ROW()-1,60),ROW()-1,FALSE))</f>
        <v>71300</v>
      </c>
      <c r="AO67">
        <f ca="1">IF(AND(ISNUMBER($AO$266),$B$185=1),$AO$266,HLOOKUP(INDIRECT(ADDRESS(2,COLUMN())),OFFSET($BN$2,0,0,ROW()-1,60),ROW()-1,FALSE))</f>
        <v>72300</v>
      </c>
      <c r="AP67">
        <f ca="1">IF(AND(ISNUMBER($AP$266),$B$185=1),$AP$266,HLOOKUP(INDIRECT(ADDRESS(2,COLUMN())),OFFSET($BN$2,0,0,ROW()-1,60),ROW()-1,FALSE))</f>
        <v>73400</v>
      </c>
      <c r="AQ67">
        <f ca="1">IF(AND(ISNUMBER($AQ$266),$B$185=1),$AQ$266,HLOOKUP(INDIRECT(ADDRESS(2,COLUMN())),OFFSET($BN$2,0,0,ROW()-1,60),ROW()-1,FALSE))</f>
        <v>74500</v>
      </c>
      <c r="AR67">
        <f ca="1">IF(AND(ISNUMBER($AR$266),$B$185=1),$AR$266,HLOOKUP(INDIRECT(ADDRESS(2,COLUMN())),OFFSET($BN$2,0,0,ROW()-1,60),ROW()-1,FALSE))</f>
        <v>61727</v>
      </c>
      <c r="AS67">
        <f ca="1">IF(AND(ISNUMBER($AS$266),$B$185=1),$AS$266,HLOOKUP(INDIRECT(ADDRESS(2,COLUMN())),OFFSET($BN$2,0,0,ROW()-1,60),ROW()-1,FALSE))</f>
        <v>77.400000000000006</v>
      </c>
      <c r="AT67">
        <f ca="1">IF(AND(ISNUMBER($AT$266),$B$185=1),$AT$266,HLOOKUP(INDIRECT(ADDRESS(2,COLUMN())),OFFSET($BN$2,0,0,ROW()-1,60),ROW()-1,FALSE))</f>
        <v>79000</v>
      </c>
      <c r="AU67">
        <f ca="1">IF(AND(ISNUMBER($AU$266),$B$185=1),$AU$266,HLOOKUP(INDIRECT(ADDRESS(2,COLUMN())),OFFSET($BN$2,0,0,ROW()-1,60),ROW()-1,FALSE))</f>
        <v>80300</v>
      </c>
      <c r="AV67">
        <f ca="1">IF(AND(ISNUMBER($AV$266),$B$185=1),$AV$266,HLOOKUP(INDIRECT(ADDRESS(2,COLUMN())),OFFSET($BN$2,0,0,ROW()-1,60),ROW()-1,FALSE))</f>
        <v>81300</v>
      </c>
      <c r="AW67">
        <f ca="1">IF(AND(ISNUMBER($AW$266),$B$185=1),$AW$266,HLOOKUP(INDIRECT(ADDRESS(2,COLUMN())),OFFSET($BN$2,0,0,ROW()-1,60),ROW()-1,FALSE))</f>
        <v>82200</v>
      </c>
      <c r="AX67">
        <f ca="1">IF(AND(ISNUMBER($AX$266),$B$185=1),$AX$266,HLOOKUP(INDIRECT(ADDRESS(2,COLUMN())),OFFSET($BN$2,0,0,ROW()-1,60),ROW()-1,FALSE))</f>
        <v>82700</v>
      </c>
      <c r="AY67">
        <f ca="1">IF(AND(ISNUMBER($AY$266),$B$185=1),$AY$266,HLOOKUP(INDIRECT(ADDRESS(2,COLUMN())),OFFSET($BN$2,0,0,ROW()-1,60),ROW()-1,FALSE))</f>
        <v>82800</v>
      </c>
      <c r="AZ67">
        <f ca="1">IF(AND(ISNUMBER($AZ$266),$B$185=1),$AZ$266,HLOOKUP(INDIRECT(ADDRESS(2,COLUMN())),OFFSET($BN$2,0,0,ROW()-1,60),ROW()-1,FALSE))</f>
        <v>81700</v>
      </c>
      <c r="BA67">
        <f ca="1">IF(AND(ISNUMBER($BA$266),$B$185=1),$BA$266,HLOOKUP(INDIRECT(ADDRESS(2,COLUMN())),OFFSET($BN$2,0,0,ROW()-1,60),ROW()-1,FALSE))</f>
        <v>79500</v>
      </c>
      <c r="BB67">
        <f ca="1">IF(AND(ISNUMBER($BB$266),$B$185=1),$BB$266,HLOOKUP(INDIRECT(ADDRESS(2,COLUMN())),OFFSET($BN$2,0,0,ROW()-1,60),ROW()-1,FALSE))</f>
        <v>77300</v>
      </c>
      <c r="BC67">
        <f ca="1">IF(AND(ISNUMBER($BC$266),$B$185=1),$BC$266,HLOOKUP(INDIRECT(ADDRESS(2,COLUMN())),OFFSET($BN$2,0,0,ROW()-1,60),ROW()-1,FALSE))</f>
        <v>75900</v>
      </c>
      <c r="BD67">
        <f ca="1">IF(AND(ISNUMBER($BD$266),$B$185=1),$BD$266,HLOOKUP(INDIRECT(ADDRESS(2,COLUMN())),OFFSET($BN$2,0,0,ROW()-1,60),ROW()-1,FALSE))</f>
        <v>74800</v>
      </c>
      <c r="BE67">
        <f ca="1">IF(AND(ISNUMBER($BE$266),$B$185=1),$BE$266,HLOOKUP(INDIRECT(ADDRESS(2,COLUMN())),OFFSET($BN$2,0,0,ROW()-1,60),ROW()-1,FALSE))</f>
        <v>72900</v>
      </c>
      <c r="BF67">
        <f ca="1">IF(AND(ISNUMBER($BF$266),$B$185=1),$BF$266,HLOOKUP(INDIRECT(ADDRESS(2,COLUMN())),OFFSET($BN$2,0,0,ROW()-1,60),ROW()-1,FALSE))</f>
        <v>70600</v>
      </c>
      <c r="BG67">
        <f ca="1">IF(AND(ISNUMBER($BG$266),$B$185=1),$BG$266,HLOOKUP(INDIRECT(ADDRESS(2,COLUMN())),OFFSET($BN$2,0,0,ROW()-1,60),ROW()-1,FALSE))</f>
        <v>68400</v>
      </c>
      <c r="BH67">
        <f ca="1">IF(AND(ISNUMBER($BH$266),$B$185=1),$BH$266,HLOOKUP(INDIRECT(ADDRESS(2,COLUMN())),OFFSET($BN$2,0,0,ROW()-1,60),ROW()-1,FALSE))</f>
        <v>66800</v>
      </c>
      <c r="BI67">
        <f ca="1">IF(AND(ISNUMBER($BI$266),$B$185=1),$BI$266,HLOOKUP(INDIRECT(ADDRESS(2,COLUMN())),OFFSET($BN$2,0,0,ROW()-1,60),ROW()-1,FALSE))</f>
        <v>66000</v>
      </c>
      <c r="BJ67">
        <f ca="1">IF(AND(ISNUMBER($BJ$266),$B$185=1),$BJ$266,HLOOKUP(INDIRECT(ADDRESS(2,COLUMN())),OFFSET($BN$2,0,0,ROW()-1,60),ROW()-1,FALSE))</f>
        <v>63200</v>
      </c>
      <c r="BK67">
        <f ca="1">IF(AND(ISNUMBER($BK$266),$B$185=1),$BK$266,HLOOKUP(INDIRECT(ADDRESS(2,COLUMN())),OFFSET($BN$2,0,0,ROW()-1,60),ROW()-1,FALSE))</f>
        <v>62400</v>
      </c>
      <c r="BL67">
        <f ca="1">IF(AND(ISNUMBER($BL$266),$B$185=1),$BL$266,HLOOKUP(INDIRECT(ADDRESS(2,COLUMN())),OFFSET($BN$2,0,0,ROW()-1,60),ROW()-1,FALSE))</f>
        <v>61000</v>
      </c>
      <c r="BM67" t="str">
        <f ca="1">IF(AND(ISNUMBER($BM$266),$B$185=1),$BM$266,HLOOKUP(INDIRECT(ADDRESS(2,COLUMN())),OFFSET($BN$2,0,0,ROW()-1,60),ROW()-1,FALSE))</f>
        <v/>
      </c>
      <c r="BN67">
        <f>94225</f>
        <v>94225</v>
      </c>
      <c r="BO67">
        <f>95808</f>
        <v>95808</v>
      </c>
      <c r="BP67">
        <f>97280</f>
        <v>97280</v>
      </c>
      <c r="BQ67">
        <f>99596</f>
        <v>99596</v>
      </c>
      <c r="BR67">
        <f>100842</f>
        <v>100842</v>
      </c>
      <c r="BS67">
        <f>101889</f>
        <v>101889</v>
      </c>
      <c r="BT67">
        <f>102817</f>
        <v>102817</v>
      </c>
      <c r="BU67">
        <f>103399</f>
        <v>103399</v>
      </c>
      <c r="BV67">
        <f>103154</f>
        <v>103154</v>
      </c>
      <c r="BW67">
        <f>102696</f>
        <v>102696</v>
      </c>
      <c r="BX67">
        <f>100519</f>
        <v>100519</v>
      </c>
      <c r="BY67">
        <f>97736</f>
        <v>97736</v>
      </c>
      <c r="BZ67">
        <f>89234</f>
        <v>89234</v>
      </c>
      <c r="CA67">
        <f>92700</f>
        <v>92700</v>
      </c>
      <c r="CB67">
        <f>93</f>
        <v>93</v>
      </c>
      <c r="CC67">
        <f>65922</f>
        <v>65922</v>
      </c>
      <c r="CD67">
        <f>86600</f>
        <v>86600</v>
      </c>
      <c r="CE67">
        <f>91400</f>
        <v>91400</v>
      </c>
      <c r="CF67">
        <f>95400</f>
        <v>95400</v>
      </c>
      <c r="CG67">
        <f>81901</f>
        <v>81901</v>
      </c>
      <c r="CH67">
        <f>98400</f>
        <v>98400</v>
      </c>
      <c r="CI67">
        <f>82702</f>
        <v>82702</v>
      </c>
      <c r="CJ67">
        <f>102400</f>
        <v>102400</v>
      </c>
      <c r="CK67">
        <f>83900</f>
        <v>83900</v>
      </c>
      <c r="CL67">
        <f>79200</f>
        <v>79200</v>
      </c>
      <c r="CM67">
        <f>63996</f>
        <v>63996</v>
      </c>
      <c r="CN67">
        <f>62200</f>
        <v>62200</v>
      </c>
      <c r="CO67">
        <f>77200</f>
        <v>77200</v>
      </c>
      <c r="CP67">
        <f>76100</f>
        <v>76100</v>
      </c>
      <c r="CQ67">
        <f>77100</f>
        <v>77100</v>
      </c>
      <c r="CR67">
        <f>78000</f>
        <v>78000</v>
      </c>
      <c r="CS67">
        <f>71400</f>
        <v>71400</v>
      </c>
      <c r="CT67">
        <f>69300</f>
        <v>69300</v>
      </c>
      <c r="CU67">
        <f>70200</f>
        <v>70200</v>
      </c>
      <c r="CV67">
        <f>71300</f>
        <v>71300</v>
      </c>
      <c r="CW67">
        <f>72300</f>
        <v>72300</v>
      </c>
      <c r="CX67">
        <f>73400</f>
        <v>73400</v>
      </c>
      <c r="CY67">
        <f>74500</f>
        <v>74500</v>
      </c>
      <c r="CZ67">
        <f>61727</f>
        <v>61727</v>
      </c>
      <c r="DA67">
        <f>77.4</f>
        <v>77.400000000000006</v>
      </c>
      <c r="DB67">
        <f>79000</f>
        <v>79000</v>
      </c>
      <c r="DC67">
        <f>80300</f>
        <v>80300</v>
      </c>
      <c r="DD67">
        <f>81300</f>
        <v>81300</v>
      </c>
      <c r="DE67">
        <f>82200</f>
        <v>82200</v>
      </c>
      <c r="DF67">
        <f>82700</f>
        <v>82700</v>
      </c>
      <c r="DG67">
        <f>82800</f>
        <v>82800</v>
      </c>
      <c r="DH67">
        <f>81700</f>
        <v>81700</v>
      </c>
      <c r="DI67">
        <f>79500</f>
        <v>79500</v>
      </c>
      <c r="DJ67">
        <f>77300</f>
        <v>77300</v>
      </c>
      <c r="DK67">
        <f>75900</f>
        <v>75900</v>
      </c>
      <c r="DL67">
        <f>74800</f>
        <v>74800</v>
      </c>
      <c r="DM67">
        <f>72900</f>
        <v>72900</v>
      </c>
      <c r="DN67">
        <f>70600</f>
        <v>70600</v>
      </c>
      <c r="DO67">
        <f>68400</f>
        <v>68400</v>
      </c>
      <c r="DP67">
        <f>66800</f>
        <v>66800</v>
      </c>
      <c r="DQ67">
        <f>66000</f>
        <v>66000</v>
      </c>
      <c r="DR67">
        <f>63200</f>
        <v>63200</v>
      </c>
      <c r="DS67">
        <f>62400</f>
        <v>62400</v>
      </c>
      <c r="DT67">
        <f>61000</f>
        <v>61000</v>
      </c>
      <c r="DU67" t="str">
        <f>""</f>
        <v/>
      </c>
    </row>
    <row r="68" spans="1:125">
      <c r="A68" t="str">
        <f>"    First Citizens BancShares Inc/"</f>
        <v xml:space="preserve">    First Citizens BancShares Inc/</v>
      </c>
      <c r="B68" t="str">
        <f>"FCNCA US Equity"</f>
        <v>FCNCA US Equity</v>
      </c>
      <c r="C68" t="str">
        <f t="shared" si="7"/>
        <v>BS962</v>
      </c>
      <c r="D68" t="str">
        <f t="shared" si="8"/>
        <v>BS_RSD_MTG_SRVC_PORTFOLIO</v>
      </c>
      <c r="E68" t="str">
        <f t="shared" si="9"/>
        <v>Dynamic</v>
      </c>
      <c r="F68" t="str">
        <f ca="1">IF(AND(ISNUMBER($F$267),$B$185=1),$F$267,HLOOKUP(INDIRECT(ADDRESS(2,COLUMN())),OFFSET($BN$2,0,0,ROW()-1,60),ROW()-1,FALSE))</f>
        <v/>
      </c>
      <c r="G68" t="str">
        <f ca="1">IF(AND(ISNUMBER($G$267),$B$185=1),$G$267,HLOOKUP(INDIRECT(ADDRESS(2,COLUMN())),OFFSET($BN$2,0,0,ROW()-1,60),ROW()-1,FALSE))</f>
        <v/>
      </c>
      <c r="H68" t="str">
        <f ca="1">IF(AND(ISNUMBER($H$267),$B$185=1),$H$267,HLOOKUP(INDIRECT(ADDRESS(2,COLUMN())),OFFSET($BN$2,0,0,ROW()-1,60),ROW()-1,FALSE))</f>
        <v/>
      </c>
      <c r="I68" t="str">
        <f ca="1">IF(AND(ISNUMBER($I$267),$B$185=1),$I$267,HLOOKUP(INDIRECT(ADDRESS(2,COLUMN())),OFFSET($BN$2,0,0,ROW()-1,60),ROW()-1,FALSE))</f>
        <v/>
      </c>
      <c r="J68" t="str">
        <f ca="1">IF(AND(ISNUMBER($J$267),$B$185=1),$J$267,HLOOKUP(INDIRECT(ADDRESS(2,COLUMN())),OFFSET($BN$2,0,0,ROW()-1,60),ROW()-1,FALSE))</f>
        <v/>
      </c>
      <c r="K68" t="str">
        <f ca="1">IF(AND(ISNUMBER($K$267),$B$185=1),$K$267,HLOOKUP(INDIRECT(ADDRESS(2,COLUMN())),OFFSET($BN$2,0,0,ROW()-1,60),ROW()-1,FALSE))</f>
        <v/>
      </c>
      <c r="L68" t="str">
        <f ca="1">IF(AND(ISNUMBER($L$267),$B$185=1),$L$267,HLOOKUP(INDIRECT(ADDRESS(2,COLUMN())),OFFSET($BN$2,0,0,ROW()-1,60),ROW()-1,FALSE))</f>
        <v/>
      </c>
      <c r="M68" t="str">
        <f ca="1">IF(AND(ISNUMBER($M$267),$B$185=1),$M$267,HLOOKUP(INDIRECT(ADDRESS(2,COLUMN())),OFFSET($BN$2,0,0,ROW()-1,60),ROW()-1,FALSE))</f>
        <v/>
      </c>
      <c r="N68" t="str">
        <f ca="1">IF(AND(ISNUMBER($N$267),$B$185=1),$N$267,HLOOKUP(INDIRECT(ADDRESS(2,COLUMN())),OFFSET($BN$2,0,0,ROW()-1,60),ROW()-1,FALSE))</f>
        <v/>
      </c>
      <c r="O68" t="str">
        <f ca="1">IF(AND(ISNUMBER($O$267),$B$185=1),$O$267,HLOOKUP(INDIRECT(ADDRESS(2,COLUMN())),OFFSET($BN$2,0,0,ROW()-1,60),ROW()-1,FALSE))</f>
        <v/>
      </c>
      <c r="P68" t="str">
        <f ca="1">IF(AND(ISNUMBER($P$267),$B$185=1),$P$267,HLOOKUP(INDIRECT(ADDRESS(2,COLUMN())),OFFSET($BN$2,0,0,ROW()-1,60),ROW()-1,FALSE))</f>
        <v/>
      </c>
      <c r="Q68" t="str">
        <f ca="1">IF(AND(ISNUMBER($Q$267),$B$185=1),$Q$267,HLOOKUP(INDIRECT(ADDRESS(2,COLUMN())),OFFSET($BN$2,0,0,ROW()-1,60),ROW()-1,FALSE))</f>
        <v/>
      </c>
      <c r="R68" t="str">
        <f ca="1">IF(AND(ISNUMBER($R$267),$B$185=1),$R$267,HLOOKUP(INDIRECT(ADDRESS(2,COLUMN())),OFFSET($BN$2,0,0,ROW()-1,60),ROW()-1,FALSE))</f>
        <v/>
      </c>
      <c r="S68" t="str">
        <f ca="1">IF(AND(ISNUMBER($S$267),$B$185=1),$S$267,HLOOKUP(INDIRECT(ADDRESS(2,COLUMN())),OFFSET($BN$2,0,0,ROW()-1,60),ROW()-1,FALSE))</f>
        <v/>
      </c>
      <c r="T68" t="str">
        <f ca="1">IF(AND(ISNUMBER($T$267),$B$185=1),$T$267,HLOOKUP(INDIRECT(ADDRESS(2,COLUMN())),OFFSET($BN$2,0,0,ROW()-1,60),ROW()-1,FALSE))</f>
        <v/>
      </c>
      <c r="U68" t="str">
        <f ca="1">IF(AND(ISNUMBER($U$267),$B$185=1),$U$267,HLOOKUP(INDIRECT(ADDRESS(2,COLUMN())),OFFSET($BN$2,0,0,ROW()-1,60),ROW()-1,FALSE))</f>
        <v/>
      </c>
      <c r="V68" t="str">
        <f ca="1">IF(AND(ISNUMBER($V$267),$B$185=1),$V$267,HLOOKUP(INDIRECT(ADDRESS(2,COLUMN())),OFFSET($BN$2,0,0,ROW()-1,60),ROW()-1,FALSE))</f>
        <v/>
      </c>
      <c r="W68" t="str">
        <f ca="1">IF(AND(ISNUMBER($W$267),$B$185=1),$W$267,HLOOKUP(INDIRECT(ADDRESS(2,COLUMN())),OFFSET($BN$2,0,0,ROW()-1,60),ROW()-1,FALSE))</f>
        <v/>
      </c>
      <c r="X68" t="str">
        <f ca="1">IF(AND(ISNUMBER($X$267),$B$185=1),$X$267,HLOOKUP(INDIRECT(ADDRESS(2,COLUMN())),OFFSET($BN$2,0,0,ROW()-1,60),ROW()-1,FALSE))</f>
        <v/>
      </c>
      <c r="Y68" t="str">
        <f ca="1">IF(AND(ISNUMBER($Y$267),$B$185=1),$Y$267,HLOOKUP(INDIRECT(ADDRESS(2,COLUMN())),OFFSET($BN$2,0,0,ROW()-1,60),ROW()-1,FALSE))</f>
        <v/>
      </c>
      <c r="Z68" t="str">
        <f ca="1">IF(AND(ISNUMBER($Z$267),$B$185=1),$Z$267,HLOOKUP(INDIRECT(ADDRESS(2,COLUMN())),OFFSET($BN$2,0,0,ROW()-1,60),ROW()-1,FALSE))</f>
        <v/>
      </c>
      <c r="AA68" t="str">
        <f ca="1">IF(AND(ISNUMBER($AA$267),$B$185=1),$AA$267,HLOOKUP(INDIRECT(ADDRESS(2,COLUMN())),OFFSET($BN$2,0,0,ROW()-1,60),ROW()-1,FALSE))</f>
        <v/>
      </c>
      <c r="AB68" t="str">
        <f ca="1">IF(AND(ISNUMBER($AB$267),$B$185=1),$AB$267,HLOOKUP(INDIRECT(ADDRESS(2,COLUMN())),OFFSET($BN$2,0,0,ROW()-1,60),ROW()-1,FALSE))</f>
        <v/>
      </c>
      <c r="AC68" t="str">
        <f ca="1">IF(AND(ISNUMBER($AC$267),$B$185=1),$AC$267,HLOOKUP(INDIRECT(ADDRESS(2,COLUMN())),OFFSET($BN$2,0,0,ROW()-1,60),ROW()-1,FALSE))</f>
        <v/>
      </c>
      <c r="AD68" t="str">
        <f ca="1">IF(AND(ISNUMBER($AD$267),$B$185=1),$AD$267,HLOOKUP(INDIRECT(ADDRESS(2,COLUMN())),OFFSET($BN$2,0,0,ROW()-1,60),ROW()-1,FALSE))</f>
        <v/>
      </c>
      <c r="AE68" t="str">
        <f ca="1">IF(AND(ISNUMBER($AE$267),$B$185=1),$AE$267,HLOOKUP(INDIRECT(ADDRESS(2,COLUMN())),OFFSET($BN$2,0,0,ROW()-1,60),ROW()-1,FALSE))</f>
        <v/>
      </c>
      <c r="AF68" t="str">
        <f ca="1">IF(AND(ISNUMBER($AF$267),$B$185=1),$AF$267,HLOOKUP(INDIRECT(ADDRESS(2,COLUMN())),OFFSET($BN$2,0,0,ROW()-1,60),ROW()-1,FALSE))</f>
        <v/>
      </c>
      <c r="AG68" t="str">
        <f ca="1">IF(AND(ISNUMBER($AG$267),$B$185=1),$AG$267,HLOOKUP(INDIRECT(ADDRESS(2,COLUMN())),OFFSET($BN$2,0,0,ROW()-1,60),ROW()-1,FALSE))</f>
        <v/>
      </c>
      <c r="AH68" t="str">
        <f ca="1">IF(AND(ISNUMBER($AH$267),$B$185=1),$AH$267,HLOOKUP(INDIRECT(ADDRESS(2,COLUMN())),OFFSET($BN$2,0,0,ROW()-1,60),ROW()-1,FALSE))</f>
        <v/>
      </c>
      <c r="AI68" t="str">
        <f ca="1">IF(AND(ISNUMBER($AI$267),$B$185=1),$AI$267,HLOOKUP(INDIRECT(ADDRESS(2,COLUMN())),OFFSET($BN$2,0,0,ROW()-1,60),ROW()-1,FALSE))</f>
        <v/>
      </c>
      <c r="AJ68" t="str">
        <f ca="1">IF(AND(ISNUMBER($AJ$267),$B$185=1),$AJ$267,HLOOKUP(INDIRECT(ADDRESS(2,COLUMN())),OFFSET($BN$2,0,0,ROW()-1,60),ROW()-1,FALSE))</f>
        <v/>
      </c>
      <c r="AK68" t="str">
        <f ca="1">IF(AND(ISNUMBER($AK$267),$B$185=1),$AK$267,HLOOKUP(INDIRECT(ADDRESS(2,COLUMN())),OFFSET($BN$2,0,0,ROW()-1,60),ROW()-1,FALSE))</f>
        <v/>
      </c>
      <c r="AL68" t="str">
        <f ca="1">IF(AND(ISNUMBER($AL$267),$B$185=1),$AL$267,HLOOKUP(INDIRECT(ADDRESS(2,COLUMN())),OFFSET($BN$2,0,0,ROW()-1,60),ROW()-1,FALSE))</f>
        <v/>
      </c>
      <c r="AM68" t="str">
        <f ca="1">IF(AND(ISNUMBER($AM$267),$B$185=1),$AM$267,HLOOKUP(INDIRECT(ADDRESS(2,COLUMN())),OFFSET($BN$2,0,0,ROW()-1,60),ROW()-1,FALSE))</f>
        <v/>
      </c>
      <c r="AN68" t="str">
        <f ca="1">IF(AND(ISNUMBER($AN$267),$B$185=1),$AN$267,HLOOKUP(INDIRECT(ADDRESS(2,COLUMN())),OFFSET($BN$2,0,0,ROW()-1,60),ROW()-1,FALSE))</f>
        <v/>
      </c>
      <c r="AO68" t="str">
        <f ca="1">IF(AND(ISNUMBER($AO$267),$B$185=1),$AO$267,HLOOKUP(INDIRECT(ADDRESS(2,COLUMN())),OFFSET($BN$2,0,0,ROW()-1,60),ROW()-1,FALSE))</f>
        <v/>
      </c>
      <c r="AP68" t="str">
        <f ca="1">IF(AND(ISNUMBER($AP$267),$B$185=1),$AP$267,HLOOKUP(INDIRECT(ADDRESS(2,COLUMN())),OFFSET($BN$2,0,0,ROW()-1,60),ROW()-1,FALSE))</f>
        <v/>
      </c>
      <c r="AQ68" t="str">
        <f ca="1">IF(AND(ISNUMBER($AQ$267),$B$185=1),$AQ$267,HLOOKUP(INDIRECT(ADDRESS(2,COLUMN())),OFFSET($BN$2,0,0,ROW()-1,60),ROW()-1,FALSE))</f>
        <v/>
      </c>
      <c r="AR68" t="str">
        <f ca="1">IF(AND(ISNUMBER($AR$267),$B$185=1),$AR$267,HLOOKUP(INDIRECT(ADDRESS(2,COLUMN())),OFFSET($BN$2,0,0,ROW()-1,60),ROW()-1,FALSE))</f>
        <v/>
      </c>
      <c r="AS68" t="str">
        <f ca="1">IF(AND(ISNUMBER($AS$267),$B$185=1),$AS$267,HLOOKUP(INDIRECT(ADDRESS(2,COLUMN())),OFFSET($BN$2,0,0,ROW()-1,60),ROW()-1,FALSE))</f>
        <v/>
      </c>
      <c r="AT68" t="str">
        <f ca="1">IF(AND(ISNUMBER($AT$267),$B$185=1),$AT$267,HLOOKUP(INDIRECT(ADDRESS(2,COLUMN())),OFFSET($BN$2,0,0,ROW()-1,60),ROW()-1,FALSE))</f>
        <v/>
      </c>
      <c r="AU68" t="str">
        <f ca="1">IF(AND(ISNUMBER($AU$267),$B$185=1),$AU$267,HLOOKUP(INDIRECT(ADDRESS(2,COLUMN())),OFFSET($BN$2,0,0,ROW()-1,60),ROW()-1,FALSE))</f>
        <v/>
      </c>
      <c r="AV68" t="str">
        <f ca="1">IF(AND(ISNUMBER($AV$267),$B$185=1),$AV$267,HLOOKUP(INDIRECT(ADDRESS(2,COLUMN())),OFFSET($BN$2,0,0,ROW()-1,60),ROW()-1,FALSE))</f>
        <v/>
      </c>
      <c r="AW68" t="str">
        <f ca="1">IF(AND(ISNUMBER($AW$267),$B$185=1),$AW$267,HLOOKUP(INDIRECT(ADDRESS(2,COLUMN())),OFFSET($BN$2,0,0,ROW()-1,60),ROW()-1,FALSE))</f>
        <v/>
      </c>
      <c r="AX68" t="str">
        <f ca="1">IF(AND(ISNUMBER($AX$267),$B$185=1),$AX$267,HLOOKUP(INDIRECT(ADDRESS(2,COLUMN())),OFFSET($BN$2,0,0,ROW()-1,60),ROW()-1,FALSE))</f>
        <v/>
      </c>
      <c r="AY68" t="str">
        <f ca="1">IF(AND(ISNUMBER($AY$267),$B$185=1),$AY$267,HLOOKUP(INDIRECT(ADDRESS(2,COLUMN())),OFFSET($BN$2,0,0,ROW()-1,60),ROW()-1,FALSE))</f>
        <v/>
      </c>
      <c r="AZ68" t="str">
        <f ca="1">IF(AND(ISNUMBER($AZ$267),$B$185=1),$AZ$267,HLOOKUP(INDIRECT(ADDRESS(2,COLUMN())),OFFSET($BN$2,0,0,ROW()-1,60),ROW()-1,FALSE))</f>
        <v/>
      </c>
      <c r="BA68" t="str">
        <f ca="1">IF(AND(ISNUMBER($BA$267),$B$185=1),$BA$267,HLOOKUP(INDIRECT(ADDRESS(2,COLUMN())),OFFSET($BN$2,0,0,ROW()-1,60),ROW()-1,FALSE))</f>
        <v/>
      </c>
      <c r="BB68" t="str">
        <f ca="1">IF(AND(ISNUMBER($BB$267),$B$185=1),$BB$267,HLOOKUP(INDIRECT(ADDRESS(2,COLUMN())),OFFSET($BN$2,0,0,ROW()-1,60),ROW()-1,FALSE))</f>
        <v/>
      </c>
      <c r="BC68" t="str">
        <f ca="1">IF(AND(ISNUMBER($BC$267),$B$185=1),$BC$267,HLOOKUP(INDIRECT(ADDRESS(2,COLUMN())),OFFSET($BN$2,0,0,ROW()-1,60),ROW()-1,FALSE))</f>
        <v/>
      </c>
      <c r="BD68" t="str">
        <f ca="1">IF(AND(ISNUMBER($BD$267),$B$185=1),$BD$267,HLOOKUP(INDIRECT(ADDRESS(2,COLUMN())),OFFSET($BN$2,0,0,ROW()-1,60),ROW()-1,FALSE))</f>
        <v/>
      </c>
      <c r="BE68" t="str">
        <f ca="1">IF(AND(ISNUMBER($BE$267),$B$185=1),$BE$267,HLOOKUP(INDIRECT(ADDRESS(2,COLUMN())),OFFSET($BN$2,0,0,ROW()-1,60),ROW()-1,FALSE))</f>
        <v/>
      </c>
      <c r="BF68" t="str">
        <f ca="1">IF(AND(ISNUMBER($BF$267),$B$185=1),$BF$267,HLOOKUP(INDIRECT(ADDRESS(2,COLUMN())),OFFSET($BN$2,0,0,ROW()-1,60),ROW()-1,FALSE))</f>
        <v/>
      </c>
      <c r="BG68" t="str">
        <f ca="1">IF(AND(ISNUMBER($BG$267),$B$185=1),$BG$267,HLOOKUP(INDIRECT(ADDRESS(2,COLUMN())),OFFSET($BN$2,0,0,ROW()-1,60),ROW()-1,FALSE))</f>
        <v/>
      </c>
      <c r="BH68" t="str">
        <f ca="1">IF(AND(ISNUMBER($BH$267),$B$185=1),$BH$267,HLOOKUP(INDIRECT(ADDRESS(2,COLUMN())),OFFSET($BN$2,0,0,ROW()-1,60),ROW()-1,FALSE))</f>
        <v/>
      </c>
      <c r="BI68" t="str">
        <f ca="1">IF(AND(ISNUMBER($BI$267),$B$185=1),$BI$267,HLOOKUP(INDIRECT(ADDRESS(2,COLUMN())),OFFSET($BN$2,0,0,ROW()-1,60),ROW()-1,FALSE))</f>
        <v/>
      </c>
      <c r="BJ68" t="str">
        <f ca="1">IF(AND(ISNUMBER($BJ$267),$B$185=1),$BJ$267,HLOOKUP(INDIRECT(ADDRESS(2,COLUMN())),OFFSET($BN$2,0,0,ROW()-1,60),ROW()-1,FALSE))</f>
        <v/>
      </c>
      <c r="BK68" t="str">
        <f ca="1">IF(AND(ISNUMBER($BK$267),$B$185=1),$BK$267,HLOOKUP(INDIRECT(ADDRESS(2,COLUMN())),OFFSET($BN$2,0,0,ROW()-1,60),ROW()-1,FALSE))</f>
        <v/>
      </c>
      <c r="BL68" t="str">
        <f ca="1">IF(AND(ISNUMBER($BL$267),$B$185=1),$BL$267,HLOOKUP(INDIRECT(ADDRESS(2,COLUMN())),OFFSET($BN$2,0,0,ROW()-1,60),ROW()-1,FALSE))</f>
        <v/>
      </c>
      <c r="BM68" t="str">
        <f ca="1">IF(AND(ISNUMBER($BM$267),$B$185=1),$BM$267,HLOOKUP(INDIRECT(ADDRESS(2,COLUMN())),OFFSET($BN$2,0,0,ROW()-1,60),ROW()-1,FALSE))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  <c r="BT68" t="str">
        <f>""</f>
        <v/>
      </c>
      <c r="BU68" t="str">
        <f>""</f>
        <v/>
      </c>
      <c r="BV68" t="str">
        <f>""</f>
        <v/>
      </c>
      <c r="BW68" t="str">
        <f>""</f>
        <v/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  <c r="CI68" t="str">
        <f>""</f>
        <v/>
      </c>
      <c r="CJ68" t="str">
        <f>""</f>
        <v/>
      </c>
      <c r="CK68" t="str">
        <f>""</f>
        <v/>
      </c>
      <c r="CL68" t="str">
        <f>""</f>
        <v/>
      </c>
      <c r="CM68" t="str">
        <f>""</f>
        <v/>
      </c>
      <c r="CN68" t="str">
        <f>""</f>
        <v/>
      </c>
      <c r="CO68" t="str">
        <f>""</f>
        <v/>
      </c>
      <c r="CP68" t="str">
        <f>""</f>
        <v/>
      </c>
      <c r="CQ68" t="str">
        <f>""</f>
        <v/>
      </c>
      <c r="CR68" t="str">
        <f>""</f>
        <v/>
      </c>
      <c r="CS68" t="str">
        <f>""</f>
        <v/>
      </c>
      <c r="CT68" t="str">
        <f>""</f>
        <v/>
      </c>
      <c r="CU68" t="str">
        <f>""</f>
        <v/>
      </c>
      <c r="CV68" t="str">
        <f>""</f>
        <v/>
      </c>
      <c r="CW68" t="str">
        <f>""</f>
        <v/>
      </c>
      <c r="CX68" t="str">
        <f>""</f>
        <v/>
      </c>
      <c r="CY68" t="str">
        <f>""</f>
        <v/>
      </c>
      <c r="CZ68" t="str">
        <f>""</f>
        <v/>
      </c>
      <c r="DA68" t="str">
        <f>""</f>
        <v/>
      </c>
      <c r="DB68" t="str">
        <f>""</f>
        <v/>
      </c>
      <c r="DC68" t="str">
        <f>""</f>
        <v/>
      </c>
      <c r="DD68" t="str">
        <f>""</f>
        <v/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>
      <c r="A69" t="str">
        <f>"    Flagstar Financial Inc"</f>
        <v xml:space="preserve">    Flagstar Financial Inc</v>
      </c>
      <c r="B69" t="str">
        <f>"FLG US Equity"</f>
        <v>FLG US Equity</v>
      </c>
      <c r="C69" t="str">
        <f t="shared" si="7"/>
        <v>BS962</v>
      </c>
      <c r="D69" t="str">
        <f t="shared" si="8"/>
        <v>BS_RSD_MTG_SRVC_PORTFOLIO</v>
      </c>
      <c r="E69" t="str">
        <f t="shared" si="9"/>
        <v>Dynamic</v>
      </c>
      <c r="F69" t="str">
        <f ca="1">IF(AND(ISNUMBER($F$268),$B$185=1),$F$268,HLOOKUP(INDIRECT(ADDRESS(2,COLUMN())),OFFSET($BN$2,0,0,ROW()-1,60),ROW()-1,FALSE))</f>
        <v/>
      </c>
      <c r="G69" t="str">
        <f ca="1">IF(AND(ISNUMBER($G$268),$B$185=1),$G$268,HLOOKUP(INDIRECT(ADDRESS(2,COLUMN())),OFFSET($BN$2,0,0,ROW()-1,60),ROW()-1,FALSE))</f>
        <v/>
      </c>
      <c r="H69" t="str">
        <f ca="1">IF(AND(ISNUMBER($H$268),$B$185=1),$H$268,HLOOKUP(INDIRECT(ADDRESS(2,COLUMN())),OFFSET($BN$2,0,0,ROW()-1,60),ROW()-1,FALSE))</f>
        <v/>
      </c>
      <c r="I69" t="str">
        <f ca="1">IF(AND(ISNUMBER($I$268),$B$185=1),$I$268,HLOOKUP(INDIRECT(ADDRESS(2,COLUMN())),OFFSET($BN$2,0,0,ROW()-1,60),ROW()-1,FALSE))</f>
        <v/>
      </c>
      <c r="J69" t="str">
        <f ca="1">IF(AND(ISNUMBER($J$268),$B$185=1),$J$268,HLOOKUP(INDIRECT(ADDRESS(2,COLUMN())),OFFSET($BN$2,0,0,ROW()-1,60),ROW()-1,FALSE))</f>
        <v/>
      </c>
      <c r="K69" t="str">
        <f ca="1">IF(AND(ISNUMBER($K$268),$B$185=1),$K$268,HLOOKUP(INDIRECT(ADDRESS(2,COLUMN())),OFFSET($BN$2,0,0,ROW()-1,60),ROW()-1,FALSE))</f>
        <v/>
      </c>
      <c r="L69" t="str">
        <f ca="1">IF(AND(ISNUMBER($L$268),$B$185=1),$L$268,HLOOKUP(INDIRECT(ADDRESS(2,COLUMN())),OFFSET($BN$2,0,0,ROW()-1,60),ROW()-1,FALSE))</f>
        <v/>
      </c>
      <c r="M69" t="str">
        <f ca="1">IF(AND(ISNUMBER($M$268),$B$185=1),$M$268,HLOOKUP(INDIRECT(ADDRESS(2,COLUMN())),OFFSET($BN$2,0,0,ROW()-1,60),ROW()-1,FALSE))</f>
        <v/>
      </c>
      <c r="N69" t="str">
        <f ca="1">IF(AND(ISNUMBER($N$268),$B$185=1),$N$268,HLOOKUP(INDIRECT(ADDRESS(2,COLUMN())),OFFSET($BN$2,0,0,ROW()-1,60),ROW()-1,FALSE))</f>
        <v/>
      </c>
      <c r="O69" t="str">
        <f ca="1">IF(AND(ISNUMBER($O$268),$B$185=1),$O$268,HLOOKUP(INDIRECT(ADDRESS(2,COLUMN())),OFFSET($BN$2,0,0,ROW()-1,60),ROW()-1,FALSE))</f>
        <v/>
      </c>
      <c r="P69" t="str">
        <f ca="1">IF(AND(ISNUMBER($P$268),$B$185=1),$P$268,HLOOKUP(INDIRECT(ADDRESS(2,COLUMN())),OFFSET($BN$2,0,0,ROW()-1,60),ROW()-1,FALSE))</f>
        <v/>
      </c>
      <c r="Q69" t="str">
        <f ca="1">IF(AND(ISNUMBER($Q$268),$B$185=1),$Q$268,HLOOKUP(INDIRECT(ADDRESS(2,COLUMN())),OFFSET($BN$2,0,0,ROW()-1,60),ROW()-1,FALSE))</f>
        <v/>
      </c>
      <c r="R69" t="str">
        <f ca="1">IF(AND(ISNUMBER($R$268),$B$185=1),$R$268,HLOOKUP(INDIRECT(ADDRESS(2,COLUMN())),OFFSET($BN$2,0,0,ROW()-1,60),ROW()-1,FALSE))</f>
        <v/>
      </c>
      <c r="S69" t="str">
        <f ca="1">IF(AND(ISNUMBER($S$268),$B$185=1),$S$268,HLOOKUP(INDIRECT(ADDRESS(2,COLUMN())),OFFSET($BN$2,0,0,ROW()-1,60),ROW()-1,FALSE))</f>
        <v/>
      </c>
      <c r="T69" t="str">
        <f ca="1">IF(AND(ISNUMBER($T$268),$B$185=1),$T$268,HLOOKUP(INDIRECT(ADDRESS(2,COLUMN())),OFFSET($BN$2,0,0,ROW()-1,60),ROW()-1,FALSE))</f>
        <v/>
      </c>
      <c r="U69" t="str">
        <f ca="1">IF(AND(ISNUMBER($U$268),$B$185=1),$U$268,HLOOKUP(INDIRECT(ADDRESS(2,COLUMN())),OFFSET($BN$2,0,0,ROW()-1,60),ROW()-1,FALSE))</f>
        <v/>
      </c>
      <c r="V69" t="str">
        <f ca="1">IF(AND(ISNUMBER($V$268),$B$185=1),$V$268,HLOOKUP(INDIRECT(ADDRESS(2,COLUMN())),OFFSET($BN$2,0,0,ROW()-1,60),ROW()-1,FALSE))</f>
        <v/>
      </c>
      <c r="W69" t="str">
        <f ca="1">IF(AND(ISNUMBER($W$268),$B$185=1),$W$268,HLOOKUP(INDIRECT(ADDRESS(2,COLUMN())),OFFSET($BN$2,0,0,ROW()-1,60),ROW()-1,FALSE))</f>
        <v/>
      </c>
      <c r="X69" t="str">
        <f ca="1">IF(AND(ISNUMBER($X$268),$B$185=1),$X$268,HLOOKUP(INDIRECT(ADDRESS(2,COLUMN())),OFFSET($BN$2,0,0,ROW()-1,60),ROW()-1,FALSE))</f>
        <v/>
      </c>
      <c r="Y69" t="str">
        <f ca="1">IF(AND(ISNUMBER($Y$268),$B$185=1),$Y$268,HLOOKUP(INDIRECT(ADDRESS(2,COLUMN())),OFFSET($BN$2,0,0,ROW()-1,60),ROW()-1,FALSE))</f>
        <v/>
      </c>
      <c r="Z69" t="str">
        <f ca="1">IF(AND(ISNUMBER($Z$268),$B$185=1),$Z$268,HLOOKUP(INDIRECT(ADDRESS(2,COLUMN())),OFFSET($BN$2,0,0,ROW()-1,60),ROW()-1,FALSE))</f>
        <v/>
      </c>
      <c r="AA69" t="str">
        <f ca="1">IF(AND(ISNUMBER($AA$268),$B$185=1),$AA$268,HLOOKUP(INDIRECT(ADDRESS(2,COLUMN())),OFFSET($BN$2,0,0,ROW()-1,60),ROW()-1,FALSE))</f>
        <v/>
      </c>
      <c r="AB69" t="str">
        <f ca="1">IF(AND(ISNUMBER($AB$268),$B$185=1),$AB$268,HLOOKUP(INDIRECT(ADDRESS(2,COLUMN())),OFFSET($BN$2,0,0,ROW()-1,60),ROW()-1,FALSE))</f>
        <v/>
      </c>
      <c r="AC69" t="str">
        <f ca="1">IF(AND(ISNUMBER($AC$268),$B$185=1),$AC$268,HLOOKUP(INDIRECT(ADDRESS(2,COLUMN())),OFFSET($BN$2,0,0,ROW()-1,60),ROW()-1,FALSE))</f>
        <v/>
      </c>
      <c r="AD69" t="str">
        <f ca="1">IF(AND(ISNUMBER($AD$268),$B$185=1),$AD$268,HLOOKUP(INDIRECT(ADDRESS(2,COLUMN())),OFFSET($BN$2,0,0,ROW()-1,60),ROW()-1,FALSE))</f>
        <v/>
      </c>
      <c r="AE69" t="str">
        <f ca="1">IF(AND(ISNUMBER($AE$268),$B$185=1),$AE$268,HLOOKUP(INDIRECT(ADDRESS(2,COLUMN())),OFFSET($BN$2,0,0,ROW()-1,60),ROW()-1,FALSE))</f>
        <v/>
      </c>
      <c r="AF69" t="str">
        <f ca="1">IF(AND(ISNUMBER($AF$268),$B$185=1),$AF$268,HLOOKUP(INDIRECT(ADDRESS(2,COLUMN())),OFFSET($BN$2,0,0,ROW()-1,60),ROW()-1,FALSE))</f>
        <v/>
      </c>
      <c r="AG69" t="str">
        <f ca="1">IF(AND(ISNUMBER($AG$268),$B$185=1),$AG$268,HLOOKUP(INDIRECT(ADDRESS(2,COLUMN())),OFFSET($BN$2,0,0,ROW()-1,60),ROW()-1,FALSE))</f>
        <v/>
      </c>
      <c r="AH69" t="str">
        <f ca="1">IF(AND(ISNUMBER($AH$268),$B$185=1),$AH$268,HLOOKUP(INDIRECT(ADDRESS(2,COLUMN())),OFFSET($BN$2,0,0,ROW()-1,60),ROW()-1,FALSE))</f>
        <v/>
      </c>
      <c r="AI69" t="str">
        <f ca="1">IF(AND(ISNUMBER($AI$268),$B$185=1),$AI$268,HLOOKUP(INDIRECT(ADDRESS(2,COLUMN())),OFFSET($BN$2,0,0,ROW()-1,60),ROW()-1,FALSE))</f>
        <v/>
      </c>
      <c r="AJ69" t="str">
        <f ca="1">IF(AND(ISNUMBER($AJ$268),$B$185=1),$AJ$268,HLOOKUP(INDIRECT(ADDRESS(2,COLUMN())),OFFSET($BN$2,0,0,ROW()-1,60),ROW()-1,FALSE))</f>
        <v/>
      </c>
      <c r="AK69" t="str">
        <f ca="1">IF(AND(ISNUMBER($AK$268),$B$185=1),$AK$268,HLOOKUP(INDIRECT(ADDRESS(2,COLUMN())),OFFSET($BN$2,0,0,ROW()-1,60),ROW()-1,FALSE))</f>
        <v/>
      </c>
      <c r="AL69" t="str">
        <f ca="1">IF(AND(ISNUMBER($AL$268),$B$185=1),$AL$268,HLOOKUP(INDIRECT(ADDRESS(2,COLUMN())),OFFSET($BN$2,0,0,ROW()-1,60),ROW()-1,FALSE))</f>
        <v/>
      </c>
      <c r="AM69" t="str">
        <f ca="1">IF(AND(ISNUMBER($AM$268),$B$185=1),$AM$268,HLOOKUP(INDIRECT(ADDRESS(2,COLUMN())),OFFSET($BN$2,0,0,ROW()-1,60),ROW()-1,FALSE))</f>
        <v/>
      </c>
      <c r="AN69" t="str">
        <f ca="1">IF(AND(ISNUMBER($AN$268),$B$185=1),$AN$268,HLOOKUP(INDIRECT(ADDRESS(2,COLUMN())),OFFSET($BN$2,0,0,ROW()-1,60),ROW()-1,FALSE))</f>
        <v/>
      </c>
      <c r="AO69" t="str">
        <f ca="1">IF(AND(ISNUMBER($AO$268),$B$185=1),$AO$268,HLOOKUP(INDIRECT(ADDRESS(2,COLUMN())),OFFSET($BN$2,0,0,ROW()-1,60),ROW()-1,FALSE))</f>
        <v/>
      </c>
      <c r="AP69" t="str">
        <f ca="1">IF(AND(ISNUMBER($AP$268),$B$185=1),$AP$268,HLOOKUP(INDIRECT(ADDRESS(2,COLUMN())),OFFSET($BN$2,0,0,ROW()-1,60),ROW()-1,FALSE))</f>
        <v/>
      </c>
      <c r="AQ69" t="str">
        <f ca="1">IF(AND(ISNUMBER($AQ$268),$B$185=1),$AQ$268,HLOOKUP(INDIRECT(ADDRESS(2,COLUMN())),OFFSET($BN$2,0,0,ROW()-1,60),ROW()-1,FALSE))</f>
        <v/>
      </c>
      <c r="AR69" t="str">
        <f ca="1">IF(AND(ISNUMBER($AR$268),$B$185=1),$AR$268,HLOOKUP(INDIRECT(ADDRESS(2,COLUMN())),OFFSET($BN$2,0,0,ROW()-1,60),ROW()-1,FALSE))</f>
        <v/>
      </c>
      <c r="AS69" t="str">
        <f ca="1">IF(AND(ISNUMBER($AS$268),$B$185=1),$AS$268,HLOOKUP(INDIRECT(ADDRESS(2,COLUMN())),OFFSET($BN$2,0,0,ROW()-1,60),ROW()-1,FALSE))</f>
        <v/>
      </c>
      <c r="AT69" t="str">
        <f ca="1">IF(AND(ISNUMBER($AT$268),$B$185=1),$AT$268,HLOOKUP(INDIRECT(ADDRESS(2,COLUMN())),OFFSET($BN$2,0,0,ROW()-1,60),ROW()-1,FALSE))</f>
        <v/>
      </c>
      <c r="AU69" t="str">
        <f ca="1">IF(AND(ISNUMBER($AU$268),$B$185=1),$AU$268,HLOOKUP(INDIRECT(ADDRESS(2,COLUMN())),OFFSET($BN$2,0,0,ROW()-1,60),ROW()-1,FALSE))</f>
        <v/>
      </c>
      <c r="AV69" t="str">
        <f ca="1">IF(AND(ISNUMBER($AV$268),$B$185=1),$AV$268,HLOOKUP(INDIRECT(ADDRESS(2,COLUMN())),OFFSET($BN$2,0,0,ROW()-1,60),ROW()-1,FALSE))</f>
        <v/>
      </c>
      <c r="AW69" t="str">
        <f ca="1">IF(AND(ISNUMBER($AW$268),$B$185=1),$AW$268,HLOOKUP(INDIRECT(ADDRESS(2,COLUMN())),OFFSET($BN$2,0,0,ROW()-1,60),ROW()-1,FALSE))</f>
        <v/>
      </c>
      <c r="AX69" t="str">
        <f ca="1">IF(AND(ISNUMBER($AX$268),$B$185=1),$AX$268,HLOOKUP(INDIRECT(ADDRESS(2,COLUMN())),OFFSET($BN$2,0,0,ROW()-1,60),ROW()-1,FALSE))</f>
        <v/>
      </c>
      <c r="AY69" t="str">
        <f ca="1">IF(AND(ISNUMBER($AY$268),$B$185=1),$AY$268,HLOOKUP(INDIRECT(ADDRESS(2,COLUMN())),OFFSET($BN$2,0,0,ROW()-1,60),ROW()-1,FALSE))</f>
        <v/>
      </c>
      <c r="AZ69" t="str">
        <f ca="1">IF(AND(ISNUMBER($AZ$268),$B$185=1),$AZ$268,HLOOKUP(INDIRECT(ADDRESS(2,COLUMN())),OFFSET($BN$2,0,0,ROW()-1,60),ROW()-1,FALSE))</f>
        <v/>
      </c>
      <c r="BA69" t="str">
        <f ca="1">IF(AND(ISNUMBER($BA$268),$B$185=1),$BA$268,HLOOKUP(INDIRECT(ADDRESS(2,COLUMN())),OFFSET($BN$2,0,0,ROW()-1,60),ROW()-1,FALSE))</f>
        <v/>
      </c>
      <c r="BB69" t="str">
        <f ca="1">IF(AND(ISNUMBER($BB$268),$B$185=1),$BB$268,HLOOKUP(INDIRECT(ADDRESS(2,COLUMN())),OFFSET($BN$2,0,0,ROW()-1,60),ROW()-1,FALSE))</f>
        <v/>
      </c>
      <c r="BC69" t="str">
        <f ca="1">IF(AND(ISNUMBER($BC$268),$B$185=1),$BC$268,HLOOKUP(INDIRECT(ADDRESS(2,COLUMN())),OFFSET($BN$2,0,0,ROW()-1,60),ROW()-1,FALSE))</f>
        <v/>
      </c>
      <c r="BD69" t="str">
        <f ca="1">IF(AND(ISNUMBER($BD$268),$B$185=1),$BD$268,HLOOKUP(INDIRECT(ADDRESS(2,COLUMN())),OFFSET($BN$2,0,0,ROW()-1,60),ROW()-1,FALSE))</f>
        <v/>
      </c>
      <c r="BE69" t="str">
        <f ca="1">IF(AND(ISNUMBER($BE$268),$B$185=1),$BE$268,HLOOKUP(INDIRECT(ADDRESS(2,COLUMN())),OFFSET($BN$2,0,0,ROW()-1,60),ROW()-1,FALSE))</f>
        <v/>
      </c>
      <c r="BF69" t="str">
        <f ca="1">IF(AND(ISNUMBER($BF$268),$B$185=1),$BF$268,HLOOKUP(INDIRECT(ADDRESS(2,COLUMN())),OFFSET($BN$2,0,0,ROW()-1,60),ROW()-1,FALSE))</f>
        <v/>
      </c>
      <c r="BG69" t="str">
        <f ca="1">IF(AND(ISNUMBER($BG$268),$B$185=1),$BG$268,HLOOKUP(INDIRECT(ADDRESS(2,COLUMN())),OFFSET($BN$2,0,0,ROW()-1,60),ROW()-1,FALSE))</f>
        <v/>
      </c>
      <c r="BH69" t="str">
        <f ca="1">IF(AND(ISNUMBER($BH$268),$B$185=1),$BH$268,HLOOKUP(INDIRECT(ADDRESS(2,COLUMN())),OFFSET($BN$2,0,0,ROW()-1,60),ROW()-1,FALSE))</f>
        <v/>
      </c>
      <c r="BI69" t="str">
        <f ca="1">IF(AND(ISNUMBER($BI$268),$B$185=1),$BI$268,HLOOKUP(INDIRECT(ADDRESS(2,COLUMN())),OFFSET($BN$2,0,0,ROW()-1,60),ROW()-1,FALSE))</f>
        <v/>
      </c>
      <c r="BJ69" t="str">
        <f ca="1">IF(AND(ISNUMBER($BJ$268),$B$185=1),$BJ$268,HLOOKUP(INDIRECT(ADDRESS(2,COLUMN())),OFFSET($BN$2,0,0,ROW()-1,60),ROW()-1,FALSE))</f>
        <v/>
      </c>
      <c r="BK69" t="str">
        <f ca="1">IF(AND(ISNUMBER($BK$268),$B$185=1),$BK$268,HLOOKUP(INDIRECT(ADDRESS(2,COLUMN())),OFFSET($BN$2,0,0,ROW()-1,60),ROW()-1,FALSE))</f>
        <v/>
      </c>
      <c r="BL69" t="str">
        <f ca="1">IF(AND(ISNUMBER($BL$268),$B$185=1),$BL$268,HLOOKUP(INDIRECT(ADDRESS(2,COLUMN())),OFFSET($BN$2,0,0,ROW()-1,60),ROW()-1,FALSE))</f>
        <v/>
      </c>
      <c r="BM69" t="str">
        <f ca="1">IF(AND(ISNUMBER($BM$268),$B$185=1),$BM$268,HLOOKUP(INDIRECT(ADDRESS(2,COLUMN())),OFFSET($BN$2,0,0,ROW()-1,60),ROW()-1,FALSE))</f>
        <v/>
      </c>
      <c r="BN69" t="str">
        <f>""</f>
        <v/>
      </c>
      <c r="BO69" t="str">
        <f>""</f>
        <v/>
      </c>
      <c r="BP69" t="str">
        <f>""</f>
        <v/>
      </c>
      <c r="BQ69" t="str">
        <f>""</f>
        <v/>
      </c>
      <c r="BR69" t="str">
        <f>""</f>
        <v/>
      </c>
      <c r="BS69" t="str">
        <f>""</f>
        <v/>
      </c>
      <c r="BT69" t="str">
        <f>""</f>
        <v/>
      </c>
      <c r="BU69" t="str">
        <f>""</f>
        <v/>
      </c>
      <c r="BV69" t="str">
        <f>""</f>
        <v/>
      </c>
      <c r="BW69" t="str">
        <f>""</f>
        <v/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""</f>
        <v/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  <c r="CI69" t="str">
        <f>""</f>
        <v/>
      </c>
      <c r="CJ69" t="str">
        <f>""</f>
        <v/>
      </c>
      <c r="CK69" t="str">
        <f>""</f>
        <v/>
      </c>
      <c r="CL69" t="str">
        <f>""</f>
        <v/>
      </c>
      <c r="CM69" t="str">
        <f>""</f>
        <v/>
      </c>
      <c r="CN69" t="str">
        <f>""</f>
        <v/>
      </c>
      <c r="CO69" t="str">
        <f>""</f>
        <v/>
      </c>
      <c r="CP69" t="str">
        <f>""</f>
        <v/>
      </c>
      <c r="CQ69" t="str">
        <f>""</f>
        <v/>
      </c>
      <c r="CR69" t="str">
        <f>""</f>
        <v/>
      </c>
      <c r="CS69" t="str">
        <f>""</f>
        <v/>
      </c>
      <c r="CT69" t="str">
        <f>""</f>
        <v/>
      </c>
      <c r="CU69" t="str">
        <f>""</f>
        <v/>
      </c>
      <c r="CV69" t="str">
        <f>""</f>
        <v/>
      </c>
      <c r="CW69" t="str">
        <f>""</f>
        <v/>
      </c>
      <c r="CX69" t="str">
        <f>""</f>
        <v/>
      </c>
      <c r="CY69" t="str">
        <f>""</f>
        <v/>
      </c>
      <c r="CZ69" t="str">
        <f>""</f>
        <v/>
      </c>
      <c r="DA69" t="str">
        <f>""</f>
        <v/>
      </c>
      <c r="DB69" t="str">
        <f>""</f>
        <v/>
      </c>
      <c r="DC69" t="str">
        <f>""</f>
        <v/>
      </c>
      <c r="DD69" t="str">
        <f>""</f>
        <v/>
      </c>
      <c r="DE69" t="str">
        <f>""</f>
        <v/>
      </c>
      <c r="DF69" t="str">
        <f>""</f>
        <v/>
      </c>
      <c r="DG69" t="str">
        <f>""</f>
        <v/>
      </c>
      <c r="DH69" t="str">
        <f>""</f>
        <v/>
      </c>
      <c r="DI69" t="str">
        <f>""</f>
        <v/>
      </c>
      <c r="DJ69" t="str">
        <f>""</f>
        <v/>
      </c>
      <c r="DK69" t="str">
        <f>""</f>
        <v/>
      </c>
      <c r="DL69" t="str">
        <f>""</f>
        <v/>
      </c>
      <c r="DM69" t="str">
        <f>""</f>
        <v/>
      </c>
      <c r="DN69" t="str">
        <f>""</f>
        <v/>
      </c>
      <c r="DO69" t="str">
        <f>""</f>
        <v/>
      </c>
      <c r="DP69" t="str">
        <f>""</f>
        <v/>
      </c>
      <c r="DQ69" t="str">
        <f>""</f>
        <v/>
      </c>
      <c r="DR69" t="str">
        <f>""</f>
        <v/>
      </c>
      <c r="DS69" t="str">
        <f>""</f>
        <v/>
      </c>
      <c r="DT69" t="str">
        <f>""</f>
        <v/>
      </c>
      <c r="DU69" t="str">
        <f>""</f>
        <v/>
      </c>
    </row>
    <row r="70" spans="1:125">
      <c r="A70" t="str">
        <f>"    Huntington Bancshares Inc/OH"</f>
        <v xml:space="preserve">    Huntington Bancshares Inc/OH</v>
      </c>
      <c r="B70" t="str">
        <f>"HBAN US Equity"</f>
        <v>HBAN US Equity</v>
      </c>
      <c r="C70" t="str">
        <f t="shared" si="7"/>
        <v>BS962</v>
      </c>
      <c r="D70" t="str">
        <f t="shared" si="8"/>
        <v>BS_RSD_MTG_SRVC_PORTFOLIO</v>
      </c>
      <c r="E70" t="str">
        <f t="shared" si="9"/>
        <v>Dynamic</v>
      </c>
      <c r="F70" t="str">
        <f ca="1">IF(AND(ISNUMBER($F$269),$B$185=1),$F$269,HLOOKUP(INDIRECT(ADDRESS(2,COLUMN())),OFFSET($BN$2,0,0,ROW()-1,60),ROW()-1,FALSE))</f>
        <v/>
      </c>
      <c r="G70" t="str">
        <f ca="1">IF(AND(ISNUMBER($G$269),$B$185=1),$G$269,HLOOKUP(INDIRECT(ADDRESS(2,COLUMN())),OFFSET($BN$2,0,0,ROW()-1,60),ROW()-1,FALSE))</f>
        <v/>
      </c>
      <c r="H70" t="str">
        <f ca="1">IF(AND(ISNUMBER($H$269),$B$185=1),$H$269,HLOOKUP(INDIRECT(ADDRESS(2,COLUMN())),OFFSET($BN$2,0,0,ROW()-1,60),ROW()-1,FALSE))</f>
        <v/>
      </c>
      <c r="I70" t="str">
        <f ca="1">IF(AND(ISNUMBER($I$269),$B$185=1),$I$269,HLOOKUP(INDIRECT(ADDRESS(2,COLUMN())),OFFSET($BN$2,0,0,ROW()-1,60),ROW()-1,FALSE))</f>
        <v/>
      </c>
      <c r="J70" t="str">
        <f ca="1">IF(AND(ISNUMBER($J$269),$B$185=1),$J$269,HLOOKUP(INDIRECT(ADDRESS(2,COLUMN())),OFFSET($BN$2,0,0,ROW()-1,60),ROW()-1,FALSE))</f>
        <v/>
      </c>
      <c r="K70" t="str">
        <f ca="1">IF(AND(ISNUMBER($K$269),$B$185=1),$K$269,HLOOKUP(INDIRECT(ADDRESS(2,COLUMN())),OFFSET($BN$2,0,0,ROW()-1,60),ROW()-1,FALSE))</f>
        <v/>
      </c>
      <c r="L70" t="str">
        <f ca="1">IF(AND(ISNUMBER($L$269),$B$185=1),$L$269,HLOOKUP(INDIRECT(ADDRESS(2,COLUMN())),OFFSET($BN$2,0,0,ROW()-1,60),ROW()-1,FALSE))</f>
        <v/>
      </c>
      <c r="M70" t="str">
        <f ca="1">IF(AND(ISNUMBER($M$269),$B$185=1),$M$269,HLOOKUP(INDIRECT(ADDRESS(2,COLUMN())),OFFSET($BN$2,0,0,ROW()-1,60),ROW()-1,FALSE))</f>
        <v/>
      </c>
      <c r="N70" t="str">
        <f ca="1">IF(AND(ISNUMBER($N$269),$B$185=1),$N$269,HLOOKUP(INDIRECT(ADDRESS(2,COLUMN())),OFFSET($BN$2,0,0,ROW()-1,60),ROW()-1,FALSE))</f>
        <v/>
      </c>
      <c r="O70" t="str">
        <f ca="1">IF(AND(ISNUMBER($O$269),$B$185=1),$O$269,HLOOKUP(INDIRECT(ADDRESS(2,COLUMN())),OFFSET($BN$2,0,0,ROW()-1,60),ROW()-1,FALSE))</f>
        <v/>
      </c>
      <c r="P70" t="str">
        <f ca="1">IF(AND(ISNUMBER($P$269),$B$185=1),$P$269,HLOOKUP(INDIRECT(ADDRESS(2,COLUMN())),OFFSET($BN$2,0,0,ROW()-1,60),ROW()-1,FALSE))</f>
        <v/>
      </c>
      <c r="Q70" t="str">
        <f ca="1">IF(AND(ISNUMBER($Q$269),$B$185=1),$Q$269,HLOOKUP(INDIRECT(ADDRESS(2,COLUMN())),OFFSET($BN$2,0,0,ROW()-1,60),ROW()-1,FALSE))</f>
        <v/>
      </c>
      <c r="R70" t="str">
        <f ca="1">IF(AND(ISNUMBER($R$269),$B$185=1),$R$269,HLOOKUP(INDIRECT(ADDRESS(2,COLUMN())),OFFSET($BN$2,0,0,ROW()-1,60),ROW()-1,FALSE))</f>
        <v/>
      </c>
      <c r="S70" t="str">
        <f ca="1">IF(AND(ISNUMBER($S$269),$B$185=1),$S$269,HLOOKUP(INDIRECT(ADDRESS(2,COLUMN())),OFFSET($BN$2,0,0,ROW()-1,60),ROW()-1,FALSE))</f>
        <v/>
      </c>
      <c r="T70" t="str">
        <f ca="1">IF(AND(ISNUMBER($T$269),$B$185=1),$T$269,HLOOKUP(INDIRECT(ADDRESS(2,COLUMN())),OFFSET($BN$2,0,0,ROW()-1,60),ROW()-1,FALSE))</f>
        <v/>
      </c>
      <c r="U70" t="str">
        <f ca="1">IF(AND(ISNUMBER($U$269),$B$185=1),$U$269,HLOOKUP(INDIRECT(ADDRESS(2,COLUMN())),OFFSET($BN$2,0,0,ROW()-1,60),ROW()-1,FALSE))</f>
        <v/>
      </c>
      <c r="V70" t="str">
        <f ca="1">IF(AND(ISNUMBER($V$269),$B$185=1),$V$269,HLOOKUP(INDIRECT(ADDRESS(2,COLUMN())),OFFSET($BN$2,0,0,ROW()-1,60),ROW()-1,FALSE))</f>
        <v/>
      </c>
      <c r="W70" t="str">
        <f ca="1">IF(AND(ISNUMBER($W$269),$B$185=1),$W$269,HLOOKUP(INDIRECT(ADDRESS(2,COLUMN())),OFFSET($BN$2,0,0,ROW()-1,60),ROW()-1,FALSE))</f>
        <v/>
      </c>
      <c r="X70" t="str">
        <f ca="1">IF(AND(ISNUMBER($X$269),$B$185=1),$X$269,HLOOKUP(INDIRECT(ADDRESS(2,COLUMN())),OFFSET($BN$2,0,0,ROW()-1,60),ROW()-1,FALSE))</f>
        <v/>
      </c>
      <c r="Y70" t="str">
        <f ca="1">IF(AND(ISNUMBER($Y$269),$B$185=1),$Y$269,HLOOKUP(INDIRECT(ADDRESS(2,COLUMN())),OFFSET($BN$2,0,0,ROW()-1,60),ROW()-1,FALSE))</f>
        <v/>
      </c>
      <c r="Z70" t="str">
        <f ca="1">IF(AND(ISNUMBER($Z$269),$B$185=1),$Z$269,HLOOKUP(INDIRECT(ADDRESS(2,COLUMN())),OFFSET($BN$2,0,0,ROW()-1,60),ROW()-1,FALSE))</f>
        <v/>
      </c>
      <c r="AA70" t="str">
        <f ca="1">IF(AND(ISNUMBER($AA$269),$B$185=1),$AA$269,HLOOKUP(INDIRECT(ADDRESS(2,COLUMN())),OFFSET($BN$2,0,0,ROW()-1,60),ROW()-1,FALSE))</f>
        <v/>
      </c>
      <c r="AB70" t="str">
        <f ca="1">IF(AND(ISNUMBER($AB$269),$B$185=1),$AB$269,HLOOKUP(INDIRECT(ADDRESS(2,COLUMN())),OFFSET($BN$2,0,0,ROW()-1,60),ROW()-1,FALSE))</f>
        <v/>
      </c>
      <c r="AC70" t="str">
        <f ca="1">IF(AND(ISNUMBER($AC$269),$B$185=1),$AC$269,HLOOKUP(INDIRECT(ADDRESS(2,COLUMN())),OFFSET($BN$2,0,0,ROW()-1,60),ROW()-1,FALSE))</f>
        <v/>
      </c>
      <c r="AD70" t="str">
        <f ca="1">IF(AND(ISNUMBER($AD$269),$B$185=1),$AD$269,HLOOKUP(INDIRECT(ADDRESS(2,COLUMN())),OFFSET($BN$2,0,0,ROW()-1,60),ROW()-1,FALSE))</f>
        <v/>
      </c>
      <c r="AE70" t="str">
        <f ca="1">IF(AND(ISNUMBER($AE$269),$B$185=1),$AE$269,HLOOKUP(INDIRECT(ADDRESS(2,COLUMN())),OFFSET($BN$2,0,0,ROW()-1,60),ROW()-1,FALSE))</f>
        <v/>
      </c>
      <c r="AF70" t="str">
        <f ca="1">IF(AND(ISNUMBER($AF$269),$B$185=1),$AF$269,HLOOKUP(INDIRECT(ADDRESS(2,COLUMN())),OFFSET($BN$2,0,0,ROW()-1,60),ROW()-1,FALSE))</f>
        <v/>
      </c>
      <c r="AG70" t="str">
        <f ca="1">IF(AND(ISNUMBER($AG$269),$B$185=1),$AG$269,HLOOKUP(INDIRECT(ADDRESS(2,COLUMN())),OFFSET($BN$2,0,0,ROW()-1,60),ROW()-1,FALSE))</f>
        <v/>
      </c>
      <c r="AH70" t="str">
        <f ca="1">IF(AND(ISNUMBER($AH$269),$B$185=1),$AH$269,HLOOKUP(INDIRECT(ADDRESS(2,COLUMN())),OFFSET($BN$2,0,0,ROW()-1,60),ROW()-1,FALSE))</f>
        <v/>
      </c>
      <c r="AI70" t="str">
        <f ca="1">IF(AND(ISNUMBER($AI$269),$B$185=1),$AI$269,HLOOKUP(INDIRECT(ADDRESS(2,COLUMN())),OFFSET($BN$2,0,0,ROW()-1,60),ROW()-1,FALSE))</f>
        <v/>
      </c>
      <c r="AJ70" t="str">
        <f ca="1">IF(AND(ISNUMBER($AJ$269),$B$185=1),$AJ$269,HLOOKUP(INDIRECT(ADDRESS(2,COLUMN())),OFFSET($BN$2,0,0,ROW()-1,60),ROW()-1,FALSE))</f>
        <v/>
      </c>
      <c r="AK70" t="str">
        <f ca="1">IF(AND(ISNUMBER($AK$269),$B$185=1),$AK$269,HLOOKUP(INDIRECT(ADDRESS(2,COLUMN())),OFFSET($BN$2,0,0,ROW()-1,60),ROW()-1,FALSE))</f>
        <v/>
      </c>
      <c r="AL70" t="str">
        <f ca="1">IF(AND(ISNUMBER($AL$269),$B$185=1),$AL$269,HLOOKUP(INDIRECT(ADDRESS(2,COLUMN())),OFFSET($BN$2,0,0,ROW()-1,60),ROW()-1,FALSE))</f>
        <v/>
      </c>
      <c r="AM70" t="str">
        <f ca="1">IF(AND(ISNUMBER($AM$269),$B$185=1),$AM$269,HLOOKUP(INDIRECT(ADDRESS(2,COLUMN())),OFFSET($BN$2,0,0,ROW()-1,60),ROW()-1,FALSE))</f>
        <v/>
      </c>
      <c r="AN70" t="str">
        <f ca="1">IF(AND(ISNUMBER($AN$269),$B$185=1),$AN$269,HLOOKUP(INDIRECT(ADDRESS(2,COLUMN())),OFFSET($BN$2,0,0,ROW()-1,60),ROW()-1,FALSE))</f>
        <v/>
      </c>
      <c r="AO70" t="str">
        <f ca="1">IF(AND(ISNUMBER($AO$269),$B$185=1),$AO$269,HLOOKUP(INDIRECT(ADDRESS(2,COLUMN())),OFFSET($BN$2,0,0,ROW()-1,60),ROW()-1,FALSE))</f>
        <v/>
      </c>
      <c r="AP70" t="str">
        <f ca="1">IF(AND(ISNUMBER($AP$269),$B$185=1),$AP$269,HLOOKUP(INDIRECT(ADDRESS(2,COLUMN())),OFFSET($BN$2,0,0,ROW()-1,60),ROW()-1,FALSE))</f>
        <v/>
      </c>
      <c r="AQ70" t="str">
        <f ca="1">IF(AND(ISNUMBER($AQ$269),$B$185=1),$AQ$269,HLOOKUP(INDIRECT(ADDRESS(2,COLUMN())),OFFSET($BN$2,0,0,ROW()-1,60),ROW()-1,FALSE))</f>
        <v/>
      </c>
      <c r="AR70" t="str">
        <f ca="1">IF(AND(ISNUMBER($AR$269),$B$185=1),$AR$269,HLOOKUP(INDIRECT(ADDRESS(2,COLUMN())),OFFSET($BN$2,0,0,ROW()-1,60),ROW()-1,FALSE))</f>
        <v/>
      </c>
      <c r="AS70" t="str">
        <f ca="1">IF(AND(ISNUMBER($AS$269),$B$185=1),$AS$269,HLOOKUP(INDIRECT(ADDRESS(2,COLUMN())),OFFSET($BN$2,0,0,ROW()-1,60),ROW()-1,FALSE))</f>
        <v/>
      </c>
      <c r="AT70" t="str">
        <f ca="1">IF(AND(ISNUMBER($AT$269),$B$185=1),$AT$269,HLOOKUP(INDIRECT(ADDRESS(2,COLUMN())),OFFSET($BN$2,0,0,ROW()-1,60),ROW()-1,FALSE))</f>
        <v/>
      </c>
      <c r="AU70" t="str">
        <f ca="1">IF(AND(ISNUMBER($AU$269),$B$185=1),$AU$269,HLOOKUP(INDIRECT(ADDRESS(2,COLUMN())),OFFSET($BN$2,0,0,ROW()-1,60),ROW()-1,FALSE))</f>
        <v/>
      </c>
      <c r="AV70" t="str">
        <f ca="1">IF(AND(ISNUMBER($AV$269),$B$185=1),$AV$269,HLOOKUP(INDIRECT(ADDRESS(2,COLUMN())),OFFSET($BN$2,0,0,ROW()-1,60),ROW()-1,FALSE))</f>
        <v/>
      </c>
      <c r="AW70" t="str">
        <f ca="1">IF(AND(ISNUMBER($AW$269),$B$185=1),$AW$269,HLOOKUP(INDIRECT(ADDRESS(2,COLUMN())),OFFSET($BN$2,0,0,ROW()-1,60),ROW()-1,FALSE))</f>
        <v/>
      </c>
      <c r="AX70" t="str">
        <f ca="1">IF(AND(ISNUMBER($AX$269),$B$185=1),$AX$269,HLOOKUP(INDIRECT(ADDRESS(2,COLUMN())),OFFSET($BN$2,0,0,ROW()-1,60),ROW()-1,FALSE))</f>
        <v/>
      </c>
      <c r="AY70" t="str">
        <f ca="1">IF(AND(ISNUMBER($AY$269),$B$185=1),$AY$269,HLOOKUP(INDIRECT(ADDRESS(2,COLUMN())),OFFSET($BN$2,0,0,ROW()-1,60),ROW()-1,FALSE))</f>
        <v/>
      </c>
      <c r="AZ70" t="str">
        <f ca="1">IF(AND(ISNUMBER($AZ$269),$B$185=1),$AZ$269,HLOOKUP(INDIRECT(ADDRESS(2,COLUMN())),OFFSET($BN$2,0,0,ROW()-1,60),ROW()-1,FALSE))</f>
        <v/>
      </c>
      <c r="BA70" t="str">
        <f ca="1">IF(AND(ISNUMBER($BA$269),$B$185=1),$BA$269,HLOOKUP(INDIRECT(ADDRESS(2,COLUMN())),OFFSET($BN$2,0,0,ROW()-1,60),ROW()-1,FALSE))</f>
        <v/>
      </c>
      <c r="BB70" t="str">
        <f ca="1">IF(AND(ISNUMBER($BB$269),$B$185=1),$BB$269,HLOOKUP(INDIRECT(ADDRESS(2,COLUMN())),OFFSET($BN$2,0,0,ROW()-1,60),ROW()-1,FALSE))</f>
        <v/>
      </c>
      <c r="BC70" t="str">
        <f ca="1">IF(AND(ISNUMBER($BC$269),$B$185=1),$BC$269,HLOOKUP(INDIRECT(ADDRESS(2,COLUMN())),OFFSET($BN$2,0,0,ROW()-1,60),ROW()-1,FALSE))</f>
        <v/>
      </c>
      <c r="BD70" t="str">
        <f ca="1">IF(AND(ISNUMBER($BD$269),$B$185=1),$BD$269,HLOOKUP(INDIRECT(ADDRESS(2,COLUMN())),OFFSET($BN$2,0,0,ROW()-1,60),ROW()-1,FALSE))</f>
        <v/>
      </c>
      <c r="BE70" t="str">
        <f ca="1">IF(AND(ISNUMBER($BE$269),$B$185=1),$BE$269,HLOOKUP(INDIRECT(ADDRESS(2,COLUMN())),OFFSET($BN$2,0,0,ROW()-1,60),ROW()-1,FALSE))</f>
        <v/>
      </c>
      <c r="BF70" t="str">
        <f ca="1">IF(AND(ISNUMBER($BF$269),$B$185=1),$BF$269,HLOOKUP(INDIRECT(ADDRESS(2,COLUMN())),OFFSET($BN$2,0,0,ROW()-1,60),ROW()-1,FALSE))</f>
        <v/>
      </c>
      <c r="BG70" t="str">
        <f ca="1">IF(AND(ISNUMBER($BG$269),$B$185=1),$BG$269,HLOOKUP(INDIRECT(ADDRESS(2,COLUMN())),OFFSET($BN$2,0,0,ROW()-1,60),ROW()-1,FALSE))</f>
        <v/>
      </c>
      <c r="BH70" t="str">
        <f ca="1">IF(AND(ISNUMBER($BH$269),$B$185=1),$BH$269,HLOOKUP(INDIRECT(ADDRESS(2,COLUMN())),OFFSET($BN$2,0,0,ROW()-1,60),ROW()-1,FALSE))</f>
        <v/>
      </c>
      <c r="BI70" t="str">
        <f ca="1">IF(AND(ISNUMBER($BI$269),$B$185=1),$BI$269,HLOOKUP(INDIRECT(ADDRESS(2,COLUMN())),OFFSET($BN$2,0,0,ROW()-1,60),ROW()-1,FALSE))</f>
        <v/>
      </c>
      <c r="BJ70" t="str">
        <f ca="1">IF(AND(ISNUMBER($BJ$269),$B$185=1),$BJ$269,HLOOKUP(INDIRECT(ADDRESS(2,COLUMN())),OFFSET($BN$2,0,0,ROW()-1,60),ROW()-1,FALSE))</f>
        <v/>
      </c>
      <c r="BK70" t="str">
        <f ca="1">IF(AND(ISNUMBER($BK$269),$B$185=1),$BK$269,HLOOKUP(INDIRECT(ADDRESS(2,COLUMN())),OFFSET($BN$2,0,0,ROW()-1,60),ROW()-1,FALSE))</f>
        <v/>
      </c>
      <c r="BL70" t="str">
        <f ca="1">IF(AND(ISNUMBER($BL$269),$B$185=1),$BL$269,HLOOKUP(INDIRECT(ADDRESS(2,COLUMN())),OFFSET($BN$2,0,0,ROW()-1,60),ROW()-1,FALSE))</f>
        <v/>
      </c>
      <c r="BM70" t="str">
        <f ca="1">IF(AND(ISNUMBER($BM$269),$B$185=1),$BM$269,HLOOKUP(INDIRECT(ADDRESS(2,COLUMN())),OFFSET($BN$2,0,0,ROW()-1,60),ROW()-1,FALSE))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  <c r="BT70" t="str">
        <f>""</f>
        <v/>
      </c>
      <c r="BU70" t="str">
        <f>""</f>
        <v/>
      </c>
      <c r="BV70" t="str">
        <f>""</f>
        <v/>
      </c>
      <c r="BW70" t="str">
        <f>""</f>
        <v/>
      </c>
      <c r="BX70" t="str">
        <f>""</f>
        <v/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  <c r="CI70" t="str">
        <f>""</f>
        <v/>
      </c>
      <c r="CJ70" t="str">
        <f>""</f>
        <v/>
      </c>
      <c r="CK70" t="str">
        <f>""</f>
        <v/>
      </c>
      <c r="CL70" t="str">
        <f>""</f>
        <v/>
      </c>
      <c r="CM70" t="str">
        <f>""</f>
        <v/>
      </c>
      <c r="CN70" t="str">
        <f>""</f>
        <v/>
      </c>
      <c r="CO70" t="str">
        <f>""</f>
        <v/>
      </c>
      <c r="CP70" t="str">
        <f>""</f>
        <v/>
      </c>
      <c r="CQ70" t="str">
        <f>""</f>
        <v/>
      </c>
      <c r="CR70" t="str">
        <f>""</f>
        <v/>
      </c>
      <c r="CS70" t="str">
        <f>""</f>
        <v/>
      </c>
      <c r="CT70" t="str">
        <f>""</f>
        <v/>
      </c>
      <c r="CU70" t="str">
        <f>""</f>
        <v/>
      </c>
      <c r="CV70" t="str">
        <f>""</f>
        <v/>
      </c>
      <c r="CW70" t="str">
        <f>""</f>
        <v/>
      </c>
      <c r="CX70" t="str">
        <f>""</f>
        <v/>
      </c>
      <c r="CY70" t="str">
        <f>""</f>
        <v/>
      </c>
      <c r="CZ70" t="str">
        <f>""</f>
        <v/>
      </c>
      <c r="DA70" t="str">
        <f>""</f>
        <v/>
      </c>
      <c r="DB70" t="str">
        <f>""</f>
        <v/>
      </c>
      <c r="DC70" t="str">
        <f>""</f>
        <v/>
      </c>
      <c r="DD70" t="str">
        <f>""</f>
        <v/>
      </c>
      <c r="DE70" t="str">
        <f>""</f>
        <v/>
      </c>
      <c r="DF70" t="str">
        <f>""</f>
        <v/>
      </c>
      <c r="DG70" t="str">
        <f>""</f>
        <v/>
      </c>
      <c r="DH70" t="str">
        <f>""</f>
        <v/>
      </c>
      <c r="DI70" t="str">
        <f>""</f>
        <v/>
      </c>
      <c r="DJ70" t="str">
        <f>""</f>
        <v/>
      </c>
      <c r="DK70" t="str">
        <f>""</f>
        <v/>
      </c>
      <c r="DL70" t="str">
        <f>""</f>
        <v/>
      </c>
      <c r="DM70" t="str">
        <f>""</f>
        <v/>
      </c>
      <c r="DN70" t="str">
        <f>""</f>
        <v/>
      </c>
      <c r="DO70" t="str">
        <f>""</f>
        <v/>
      </c>
      <c r="DP70" t="str">
        <f>""</f>
        <v/>
      </c>
      <c r="DQ70" t="str">
        <f>""</f>
        <v/>
      </c>
      <c r="DR70" t="str">
        <f>""</f>
        <v/>
      </c>
      <c r="DS70" t="str">
        <f>""</f>
        <v/>
      </c>
      <c r="DT70" t="str">
        <f>""</f>
        <v/>
      </c>
      <c r="DU70" t="str">
        <f>""</f>
        <v/>
      </c>
    </row>
    <row r="71" spans="1:125">
      <c r="A71" t="str">
        <f>"    KeyCorp"</f>
        <v xml:space="preserve">    KeyCorp</v>
      </c>
      <c r="B71" t="str">
        <f>"KEY US Equity"</f>
        <v>KEY US Equity</v>
      </c>
      <c r="C71" t="str">
        <f t="shared" si="7"/>
        <v>BS962</v>
      </c>
      <c r="D71" t="str">
        <f t="shared" si="8"/>
        <v>BS_RSD_MTG_SRVC_PORTFOLIO</v>
      </c>
      <c r="E71" t="str">
        <f t="shared" si="9"/>
        <v>Dynamic</v>
      </c>
      <c r="F71" t="str">
        <f ca="1">IF(AND(ISNUMBER($F$270),$B$185=1),$F$270,HLOOKUP(INDIRECT(ADDRESS(2,COLUMN())),OFFSET($BN$2,0,0,ROW()-1,60),ROW()-1,FALSE))</f>
        <v/>
      </c>
      <c r="G71" t="str">
        <f ca="1">IF(AND(ISNUMBER($G$270),$B$185=1),$G$270,HLOOKUP(INDIRECT(ADDRESS(2,COLUMN())),OFFSET($BN$2,0,0,ROW()-1,60),ROW()-1,FALSE))</f>
        <v/>
      </c>
      <c r="H71" t="str">
        <f ca="1">IF(AND(ISNUMBER($H$270),$B$185=1),$H$270,HLOOKUP(INDIRECT(ADDRESS(2,COLUMN())),OFFSET($BN$2,0,0,ROW()-1,60),ROW()-1,FALSE))</f>
        <v/>
      </c>
      <c r="I71" t="str">
        <f ca="1">IF(AND(ISNUMBER($I$270),$B$185=1),$I$270,HLOOKUP(INDIRECT(ADDRESS(2,COLUMN())),OFFSET($BN$2,0,0,ROW()-1,60),ROW()-1,FALSE))</f>
        <v/>
      </c>
      <c r="J71" t="str">
        <f ca="1">IF(AND(ISNUMBER($J$270),$B$185=1),$J$270,HLOOKUP(INDIRECT(ADDRESS(2,COLUMN())),OFFSET($BN$2,0,0,ROW()-1,60),ROW()-1,FALSE))</f>
        <v/>
      </c>
      <c r="K71" t="str">
        <f ca="1">IF(AND(ISNUMBER($K$270),$B$185=1),$K$270,HLOOKUP(INDIRECT(ADDRESS(2,COLUMN())),OFFSET($BN$2,0,0,ROW()-1,60),ROW()-1,FALSE))</f>
        <v/>
      </c>
      <c r="L71" t="str">
        <f ca="1">IF(AND(ISNUMBER($L$270),$B$185=1),$L$270,HLOOKUP(INDIRECT(ADDRESS(2,COLUMN())),OFFSET($BN$2,0,0,ROW()-1,60),ROW()-1,FALSE))</f>
        <v/>
      </c>
      <c r="M71" t="str">
        <f ca="1">IF(AND(ISNUMBER($M$270),$B$185=1),$M$270,HLOOKUP(INDIRECT(ADDRESS(2,COLUMN())),OFFSET($BN$2,0,0,ROW()-1,60),ROW()-1,FALSE))</f>
        <v/>
      </c>
      <c r="N71" t="str">
        <f ca="1">IF(AND(ISNUMBER($N$270),$B$185=1),$N$270,HLOOKUP(INDIRECT(ADDRESS(2,COLUMN())),OFFSET($BN$2,0,0,ROW()-1,60),ROW()-1,FALSE))</f>
        <v/>
      </c>
      <c r="O71" t="str">
        <f ca="1">IF(AND(ISNUMBER($O$270),$B$185=1),$O$270,HLOOKUP(INDIRECT(ADDRESS(2,COLUMN())),OFFSET($BN$2,0,0,ROW()-1,60),ROW()-1,FALSE))</f>
        <v/>
      </c>
      <c r="P71" t="str">
        <f ca="1">IF(AND(ISNUMBER($P$270),$B$185=1),$P$270,HLOOKUP(INDIRECT(ADDRESS(2,COLUMN())),OFFSET($BN$2,0,0,ROW()-1,60),ROW()-1,FALSE))</f>
        <v/>
      </c>
      <c r="Q71" t="str">
        <f ca="1">IF(AND(ISNUMBER($Q$270),$B$185=1),$Q$270,HLOOKUP(INDIRECT(ADDRESS(2,COLUMN())),OFFSET($BN$2,0,0,ROW()-1,60),ROW()-1,FALSE))</f>
        <v/>
      </c>
      <c r="R71" t="str">
        <f ca="1">IF(AND(ISNUMBER($R$270),$B$185=1),$R$270,HLOOKUP(INDIRECT(ADDRESS(2,COLUMN())),OFFSET($BN$2,0,0,ROW()-1,60),ROW()-1,FALSE))</f>
        <v/>
      </c>
      <c r="S71" t="str">
        <f ca="1">IF(AND(ISNUMBER($S$270),$B$185=1),$S$270,HLOOKUP(INDIRECT(ADDRESS(2,COLUMN())),OFFSET($BN$2,0,0,ROW()-1,60),ROW()-1,FALSE))</f>
        <v/>
      </c>
      <c r="T71" t="str">
        <f ca="1">IF(AND(ISNUMBER($T$270),$B$185=1),$T$270,HLOOKUP(INDIRECT(ADDRESS(2,COLUMN())),OFFSET($BN$2,0,0,ROW()-1,60),ROW()-1,FALSE))</f>
        <v/>
      </c>
      <c r="U71" t="str">
        <f ca="1">IF(AND(ISNUMBER($U$270),$B$185=1),$U$270,HLOOKUP(INDIRECT(ADDRESS(2,COLUMN())),OFFSET($BN$2,0,0,ROW()-1,60),ROW()-1,FALSE))</f>
        <v/>
      </c>
      <c r="V71" t="str">
        <f ca="1">IF(AND(ISNUMBER($V$270),$B$185=1),$V$270,HLOOKUP(INDIRECT(ADDRESS(2,COLUMN())),OFFSET($BN$2,0,0,ROW()-1,60),ROW()-1,FALSE))</f>
        <v/>
      </c>
      <c r="W71" t="str">
        <f ca="1">IF(AND(ISNUMBER($W$270),$B$185=1),$W$270,HLOOKUP(INDIRECT(ADDRESS(2,COLUMN())),OFFSET($BN$2,0,0,ROW()-1,60),ROW()-1,FALSE))</f>
        <v/>
      </c>
      <c r="X71" t="str">
        <f ca="1">IF(AND(ISNUMBER($X$270),$B$185=1),$X$270,HLOOKUP(INDIRECT(ADDRESS(2,COLUMN())),OFFSET($BN$2,0,0,ROW()-1,60),ROW()-1,FALSE))</f>
        <v/>
      </c>
      <c r="Y71" t="str">
        <f ca="1">IF(AND(ISNUMBER($Y$270),$B$185=1),$Y$270,HLOOKUP(INDIRECT(ADDRESS(2,COLUMN())),OFFSET($BN$2,0,0,ROW()-1,60),ROW()-1,FALSE))</f>
        <v/>
      </c>
      <c r="Z71" t="str">
        <f ca="1">IF(AND(ISNUMBER($Z$270),$B$185=1),$Z$270,HLOOKUP(INDIRECT(ADDRESS(2,COLUMN())),OFFSET($BN$2,0,0,ROW()-1,60),ROW()-1,FALSE))</f>
        <v/>
      </c>
      <c r="AA71" t="str">
        <f ca="1">IF(AND(ISNUMBER($AA$270),$B$185=1),$AA$270,HLOOKUP(INDIRECT(ADDRESS(2,COLUMN())),OFFSET($BN$2,0,0,ROW()-1,60),ROW()-1,FALSE))</f>
        <v/>
      </c>
      <c r="AB71" t="str">
        <f ca="1">IF(AND(ISNUMBER($AB$270),$B$185=1),$AB$270,HLOOKUP(INDIRECT(ADDRESS(2,COLUMN())),OFFSET($BN$2,0,0,ROW()-1,60),ROW()-1,FALSE))</f>
        <v/>
      </c>
      <c r="AC71" t="str">
        <f ca="1">IF(AND(ISNUMBER($AC$270),$B$185=1),$AC$270,HLOOKUP(INDIRECT(ADDRESS(2,COLUMN())),OFFSET($BN$2,0,0,ROW()-1,60),ROW()-1,FALSE))</f>
        <v/>
      </c>
      <c r="AD71" t="str">
        <f ca="1">IF(AND(ISNUMBER($AD$270),$B$185=1),$AD$270,HLOOKUP(INDIRECT(ADDRESS(2,COLUMN())),OFFSET($BN$2,0,0,ROW()-1,60),ROW()-1,FALSE))</f>
        <v/>
      </c>
      <c r="AE71" t="str">
        <f ca="1">IF(AND(ISNUMBER($AE$270),$B$185=1),$AE$270,HLOOKUP(INDIRECT(ADDRESS(2,COLUMN())),OFFSET($BN$2,0,0,ROW()-1,60),ROW()-1,FALSE))</f>
        <v/>
      </c>
      <c r="AF71" t="str">
        <f ca="1">IF(AND(ISNUMBER($AF$270),$B$185=1),$AF$270,HLOOKUP(INDIRECT(ADDRESS(2,COLUMN())),OFFSET($BN$2,0,0,ROW()-1,60),ROW()-1,FALSE))</f>
        <v/>
      </c>
      <c r="AG71" t="str">
        <f ca="1">IF(AND(ISNUMBER($AG$270),$B$185=1),$AG$270,HLOOKUP(INDIRECT(ADDRESS(2,COLUMN())),OFFSET($BN$2,0,0,ROW()-1,60),ROW()-1,FALSE))</f>
        <v/>
      </c>
      <c r="AH71" t="str">
        <f ca="1">IF(AND(ISNUMBER($AH$270),$B$185=1),$AH$270,HLOOKUP(INDIRECT(ADDRESS(2,COLUMN())),OFFSET($BN$2,0,0,ROW()-1,60),ROW()-1,FALSE))</f>
        <v/>
      </c>
      <c r="AI71" t="str">
        <f ca="1">IF(AND(ISNUMBER($AI$270),$B$185=1),$AI$270,HLOOKUP(INDIRECT(ADDRESS(2,COLUMN())),OFFSET($BN$2,0,0,ROW()-1,60),ROW()-1,FALSE))</f>
        <v/>
      </c>
      <c r="AJ71" t="str">
        <f ca="1">IF(AND(ISNUMBER($AJ$270),$B$185=1),$AJ$270,HLOOKUP(INDIRECT(ADDRESS(2,COLUMN())),OFFSET($BN$2,0,0,ROW()-1,60),ROW()-1,FALSE))</f>
        <v/>
      </c>
      <c r="AK71" t="str">
        <f ca="1">IF(AND(ISNUMBER($AK$270),$B$185=1),$AK$270,HLOOKUP(INDIRECT(ADDRESS(2,COLUMN())),OFFSET($BN$2,0,0,ROW()-1,60),ROW()-1,FALSE))</f>
        <v/>
      </c>
      <c r="AL71" t="str">
        <f ca="1">IF(AND(ISNUMBER($AL$270),$B$185=1),$AL$270,HLOOKUP(INDIRECT(ADDRESS(2,COLUMN())),OFFSET($BN$2,0,0,ROW()-1,60),ROW()-1,FALSE))</f>
        <v/>
      </c>
      <c r="AM71" t="str">
        <f ca="1">IF(AND(ISNUMBER($AM$270),$B$185=1),$AM$270,HLOOKUP(INDIRECT(ADDRESS(2,COLUMN())),OFFSET($BN$2,0,0,ROW()-1,60),ROW()-1,FALSE))</f>
        <v/>
      </c>
      <c r="AN71" t="str">
        <f ca="1">IF(AND(ISNUMBER($AN$270),$B$185=1),$AN$270,HLOOKUP(INDIRECT(ADDRESS(2,COLUMN())),OFFSET($BN$2,0,0,ROW()-1,60),ROW()-1,FALSE))</f>
        <v/>
      </c>
      <c r="AO71" t="str">
        <f ca="1">IF(AND(ISNUMBER($AO$270),$B$185=1),$AO$270,HLOOKUP(INDIRECT(ADDRESS(2,COLUMN())),OFFSET($BN$2,0,0,ROW()-1,60),ROW()-1,FALSE))</f>
        <v/>
      </c>
      <c r="AP71" t="str">
        <f ca="1">IF(AND(ISNUMBER($AP$270),$B$185=1),$AP$270,HLOOKUP(INDIRECT(ADDRESS(2,COLUMN())),OFFSET($BN$2,0,0,ROW()-1,60),ROW()-1,FALSE))</f>
        <v/>
      </c>
      <c r="AQ71" t="str">
        <f ca="1">IF(AND(ISNUMBER($AQ$270),$B$185=1),$AQ$270,HLOOKUP(INDIRECT(ADDRESS(2,COLUMN())),OFFSET($BN$2,0,0,ROW()-1,60),ROW()-1,FALSE))</f>
        <v/>
      </c>
      <c r="AR71" t="str">
        <f ca="1">IF(AND(ISNUMBER($AR$270),$B$185=1),$AR$270,HLOOKUP(INDIRECT(ADDRESS(2,COLUMN())),OFFSET($BN$2,0,0,ROW()-1,60),ROW()-1,FALSE))</f>
        <v/>
      </c>
      <c r="AS71" t="str">
        <f ca="1">IF(AND(ISNUMBER($AS$270),$B$185=1),$AS$270,HLOOKUP(INDIRECT(ADDRESS(2,COLUMN())),OFFSET($BN$2,0,0,ROW()-1,60),ROW()-1,FALSE))</f>
        <v/>
      </c>
      <c r="AT71" t="str">
        <f ca="1">IF(AND(ISNUMBER($AT$270),$B$185=1),$AT$270,HLOOKUP(INDIRECT(ADDRESS(2,COLUMN())),OFFSET($BN$2,0,0,ROW()-1,60),ROW()-1,FALSE))</f>
        <v/>
      </c>
      <c r="AU71" t="str">
        <f ca="1">IF(AND(ISNUMBER($AU$270),$B$185=1),$AU$270,HLOOKUP(INDIRECT(ADDRESS(2,COLUMN())),OFFSET($BN$2,0,0,ROW()-1,60),ROW()-1,FALSE))</f>
        <v/>
      </c>
      <c r="AV71" t="str">
        <f ca="1">IF(AND(ISNUMBER($AV$270),$B$185=1),$AV$270,HLOOKUP(INDIRECT(ADDRESS(2,COLUMN())),OFFSET($BN$2,0,0,ROW()-1,60),ROW()-1,FALSE))</f>
        <v/>
      </c>
      <c r="AW71" t="str">
        <f ca="1">IF(AND(ISNUMBER($AW$270),$B$185=1),$AW$270,HLOOKUP(INDIRECT(ADDRESS(2,COLUMN())),OFFSET($BN$2,0,0,ROW()-1,60),ROW()-1,FALSE))</f>
        <v/>
      </c>
      <c r="AX71" t="str">
        <f ca="1">IF(AND(ISNUMBER($AX$270),$B$185=1),$AX$270,HLOOKUP(INDIRECT(ADDRESS(2,COLUMN())),OFFSET($BN$2,0,0,ROW()-1,60),ROW()-1,FALSE))</f>
        <v/>
      </c>
      <c r="AY71" t="str">
        <f ca="1">IF(AND(ISNUMBER($AY$270),$B$185=1),$AY$270,HLOOKUP(INDIRECT(ADDRESS(2,COLUMN())),OFFSET($BN$2,0,0,ROW()-1,60),ROW()-1,FALSE))</f>
        <v/>
      </c>
      <c r="AZ71" t="str">
        <f ca="1">IF(AND(ISNUMBER($AZ$270),$B$185=1),$AZ$270,HLOOKUP(INDIRECT(ADDRESS(2,COLUMN())),OFFSET($BN$2,0,0,ROW()-1,60),ROW()-1,FALSE))</f>
        <v/>
      </c>
      <c r="BA71" t="str">
        <f ca="1">IF(AND(ISNUMBER($BA$270),$B$185=1),$BA$270,HLOOKUP(INDIRECT(ADDRESS(2,COLUMN())),OFFSET($BN$2,0,0,ROW()-1,60),ROW()-1,FALSE))</f>
        <v/>
      </c>
      <c r="BB71" t="str">
        <f ca="1">IF(AND(ISNUMBER($BB$270),$B$185=1),$BB$270,HLOOKUP(INDIRECT(ADDRESS(2,COLUMN())),OFFSET($BN$2,0,0,ROW()-1,60),ROW()-1,FALSE))</f>
        <v/>
      </c>
      <c r="BC71" t="str">
        <f ca="1">IF(AND(ISNUMBER($BC$270),$B$185=1),$BC$270,HLOOKUP(INDIRECT(ADDRESS(2,COLUMN())),OFFSET($BN$2,0,0,ROW()-1,60),ROW()-1,FALSE))</f>
        <v/>
      </c>
      <c r="BD71" t="str">
        <f ca="1">IF(AND(ISNUMBER($BD$270),$B$185=1),$BD$270,HLOOKUP(INDIRECT(ADDRESS(2,COLUMN())),OFFSET($BN$2,0,0,ROW()-1,60),ROW()-1,FALSE))</f>
        <v/>
      </c>
      <c r="BE71" t="str">
        <f ca="1">IF(AND(ISNUMBER($BE$270),$B$185=1),$BE$270,HLOOKUP(INDIRECT(ADDRESS(2,COLUMN())),OFFSET($BN$2,0,0,ROW()-1,60),ROW()-1,FALSE))</f>
        <v/>
      </c>
      <c r="BF71" t="str">
        <f ca="1">IF(AND(ISNUMBER($BF$270),$B$185=1),$BF$270,HLOOKUP(INDIRECT(ADDRESS(2,COLUMN())),OFFSET($BN$2,0,0,ROW()-1,60),ROW()-1,FALSE))</f>
        <v/>
      </c>
      <c r="BG71" t="str">
        <f ca="1">IF(AND(ISNUMBER($BG$270),$B$185=1),$BG$270,HLOOKUP(INDIRECT(ADDRESS(2,COLUMN())),OFFSET($BN$2,0,0,ROW()-1,60),ROW()-1,FALSE))</f>
        <v/>
      </c>
      <c r="BH71" t="str">
        <f ca="1">IF(AND(ISNUMBER($BH$270),$B$185=1),$BH$270,HLOOKUP(INDIRECT(ADDRESS(2,COLUMN())),OFFSET($BN$2,0,0,ROW()-1,60),ROW()-1,FALSE))</f>
        <v/>
      </c>
      <c r="BI71" t="str">
        <f ca="1">IF(AND(ISNUMBER($BI$270),$B$185=1),$BI$270,HLOOKUP(INDIRECT(ADDRESS(2,COLUMN())),OFFSET($BN$2,0,0,ROW()-1,60),ROW()-1,FALSE))</f>
        <v/>
      </c>
      <c r="BJ71" t="str">
        <f ca="1">IF(AND(ISNUMBER($BJ$270),$B$185=1),$BJ$270,HLOOKUP(INDIRECT(ADDRESS(2,COLUMN())),OFFSET($BN$2,0,0,ROW()-1,60),ROW()-1,FALSE))</f>
        <v/>
      </c>
      <c r="BK71" t="str">
        <f ca="1">IF(AND(ISNUMBER($BK$270),$B$185=1),$BK$270,HLOOKUP(INDIRECT(ADDRESS(2,COLUMN())),OFFSET($BN$2,0,0,ROW()-1,60),ROW()-1,FALSE))</f>
        <v/>
      </c>
      <c r="BL71" t="str">
        <f ca="1">IF(AND(ISNUMBER($BL$270),$B$185=1),$BL$270,HLOOKUP(INDIRECT(ADDRESS(2,COLUMN())),OFFSET($BN$2,0,0,ROW()-1,60),ROW()-1,FALSE))</f>
        <v/>
      </c>
      <c r="BM71" t="str">
        <f ca="1">IF(AND(ISNUMBER($BM$270),$B$185=1),$BM$270,HLOOKUP(INDIRECT(ADDRESS(2,COLUMN())),OFFSET($BN$2,0,0,ROW()-1,60),ROW()-1,FALSE))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 t="str">
        <f>""</f>
        <v/>
      </c>
      <c r="CJ71" t="str">
        <f>""</f>
        <v/>
      </c>
      <c r="CK71" t="str">
        <f>""</f>
        <v/>
      </c>
      <c r="CL71" t="str">
        <f>""</f>
        <v/>
      </c>
      <c r="CM71" t="str">
        <f>""</f>
        <v/>
      </c>
      <c r="CN71" t="str">
        <f>""</f>
        <v/>
      </c>
      <c r="CO71" t="str">
        <f>""</f>
        <v/>
      </c>
      <c r="CP71" t="str">
        <f>""</f>
        <v/>
      </c>
      <c r="CQ71" t="str">
        <f>""</f>
        <v/>
      </c>
      <c r="CR71" t="str">
        <f>""</f>
        <v/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>
      <c r="A72" t="str">
        <f>"    M&amp;T Bank Corp"</f>
        <v xml:space="preserve">    M&amp;T Bank Corp</v>
      </c>
      <c r="B72" t="str">
        <f>"MTB US Equity"</f>
        <v>MTB US Equity</v>
      </c>
      <c r="C72" t="str">
        <f t="shared" si="7"/>
        <v>BS962</v>
      </c>
      <c r="D72" t="str">
        <f t="shared" si="8"/>
        <v>BS_RSD_MTG_SRVC_PORTFOLIO</v>
      </c>
      <c r="E72" t="str">
        <f t="shared" si="9"/>
        <v>Dynamic</v>
      </c>
      <c r="F72" t="str">
        <f ca="1">IF(AND(ISNUMBER($F$271),$B$185=1),$F$271,HLOOKUP(INDIRECT(ADDRESS(2,COLUMN())),OFFSET($BN$2,0,0,ROW()-1,60),ROW()-1,FALSE))</f>
        <v/>
      </c>
      <c r="G72" t="str">
        <f ca="1">IF(AND(ISNUMBER($G$271),$B$185=1),$G$271,HLOOKUP(INDIRECT(ADDRESS(2,COLUMN())),OFFSET($BN$2,0,0,ROW()-1,60),ROW()-1,FALSE))</f>
        <v/>
      </c>
      <c r="H72" t="str">
        <f ca="1">IF(AND(ISNUMBER($H$271),$B$185=1),$H$271,HLOOKUP(INDIRECT(ADDRESS(2,COLUMN())),OFFSET($BN$2,0,0,ROW()-1,60),ROW()-1,FALSE))</f>
        <v/>
      </c>
      <c r="I72" t="str">
        <f ca="1">IF(AND(ISNUMBER($I$271),$B$185=1),$I$271,HLOOKUP(INDIRECT(ADDRESS(2,COLUMN())),OFFSET($BN$2,0,0,ROW()-1,60),ROW()-1,FALSE))</f>
        <v/>
      </c>
      <c r="J72" t="str">
        <f ca="1">IF(AND(ISNUMBER($J$271),$B$185=1),$J$271,HLOOKUP(INDIRECT(ADDRESS(2,COLUMN())),OFFSET($BN$2,0,0,ROW()-1,60),ROW()-1,FALSE))</f>
        <v/>
      </c>
      <c r="K72" t="str">
        <f ca="1">IF(AND(ISNUMBER($K$271),$B$185=1),$K$271,HLOOKUP(INDIRECT(ADDRESS(2,COLUMN())),OFFSET($BN$2,0,0,ROW()-1,60),ROW()-1,FALSE))</f>
        <v/>
      </c>
      <c r="L72" t="str">
        <f ca="1">IF(AND(ISNUMBER($L$271),$B$185=1),$L$271,HLOOKUP(INDIRECT(ADDRESS(2,COLUMN())),OFFSET($BN$2,0,0,ROW()-1,60),ROW()-1,FALSE))</f>
        <v/>
      </c>
      <c r="M72" t="str">
        <f ca="1">IF(AND(ISNUMBER($M$271),$B$185=1),$M$271,HLOOKUP(INDIRECT(ADDRESS(2,COLUMN())),OFFSET($BN$2,0,0,ROW()-1,60),ROW()-1,FALSE))</f>
        <v/>
      </c>
      <c r="N72" t="str">
        <f ca="1">IF(AND(ISNUMBER($N$271),$B$185=1),$N$271,HLOOKUP(INDIRECT(ADDRESS(2,COLUMN())),OFFSET($BN$2,0,0,ROW()-1,60),ROW()-1,FALSE))</f>
        <v/>
      </c>
      <c r="O72" t="str">
        <f ca="1">IF(AND(ISNUMBER($O$271),$B$185=1),$O$271,HLOOKUP(INDIRECT(ADDRESS(2,COLUMN())),OFFSET($BN$2,0,0,ROW()-1,60),ROW()-1,FALSE))</f>
        <v/>
      </c>
      <c r="P72" t="str">
        <f ca="1">IF(AND(ISNUMBER($P$271),$B$185=1),$P$271,HLOOKUP(INDIRECT(ADDRESS(2,COLUMN())),OFFSET($BN$2,0,0,ROW()-1,60),ROW()-1,FALSE))</f>
        <v/>
      </c>
      <c r="Q72" t="str">
        <f ca="1">IF(AND(ISNUMBER($Q$271),$B$185=1),$Q$271,HLOOKUP(INDIRECT(ADDRESS(2,COLUMN())),OFFSET($BN$2,0,0,ROW()-1,60),ROW()-1,FALSE))</f>
        <v/>
      </c>
      <c r="R72" t="str">
        <f ca="1">IF(AND(ISNUMBER($R$271),$B$185=1),$R$271,HLOOKUP(INDIRECT(ADDRESS(2,COLUMN())),OFFSET($BN$2,0,0,ROW()-1,60),ROW()-1,FALSE))</f>
        <v/>
      </c>
      <c r="S72" t="str">
        <f ca="1">IF(AND(ISNUMBER($S$271),$B$185=1),$S$271,HLOOKUP(INDIRECT(ADDRESS(2,COLUMN())),OFFSET($BN$2,0,0,ROW()-1,60),ROW()-1,FALSE))</f>
        <v/>
      </c>
      <c r="T72" t="str">
        <f ca="1">IF(AND(ISNUMBER($T$271),$B$185=1),$T$271,HLOOKUP(INDIRECT(ADDRESS(2,COLUMN())),OFFSET($BN$2,0,0,ROW()-1,60),ROW()-1,FALSE))</f>
        <v/>
      </c>
      <c r="U72" t="str">
        <f ca="1">IF(AND(ISNUMBER($U$271),$B$185=1),$U$271,HLOOKUP(INDIRECT(ADDRESS(2,COLUMN())),OFFSET($BN$2,0,0,ROW()-1,60),ROW()-1,FALSE))</f>
        <v/>
      </c>
      <c r="V72" t="str">
        <f ca="1">IF(AND(ISNUMBER($V$271),$B$185=1),$V$271,HLOOKUP(INDIRECT(ADDRESS(2,COLUMN())),OFFSET($BN$2,0,0,ROW()-1,60),ROW()-1,FALSE))</f>
        <v/>
      </c>
      <c r="W72" t="str">
        <f ca="1">IF(AND(ISNUMBER($W$271),$B$185=1),$W$271,HLOOKUP(INDIRECT(ADDRESS(2,COLUMN())),OFFSET($BN$2,0,0,ROW()-1,60),ROW()-1,FALSE))</f>
        <v/>
      </c>
      <c r="X72" t="str">
        <f ca="1">IF(AND(ISNUMBER($X$271),$B$185=1),$X$271,HLOOKUP(INDIRECT(ADDRESS(2,COLUMN())),OFFSET($BN$2,0,0,ROW()-1,60),ROW()-1,FALSE))</f>
        <v/>
      </c>
      <c r="Y72" t="str">
        <f ca="1">IF(AND(ISNUMBER($Y$271),$B$185=1),$Y$271,HLOOKUP(INDIRECT(ADDRESS(2,COLUMN())),OFFSET($BN$2,0,0,ROW()-1,60),ROW()-1,FALSE))</f>
        <v/>
      </c>
      <c r="Z72" t="str">
        <f ca="1">IF(AND(ISNUMBER($Z$271),$B$185=1),$Z$271,HLOOKUP(INDIRECT(ADDRESS(2,COLUMN())),OFFSET($BN$2,0,0,ROW()-1,60),ROW()-1,FALSE))</f>
        <v/>
      </c>
      <c r="AA72" t="str">
        <f ca="1">IF(AND(ISNUMBER($AA$271),$B$185=1),$AA$271,HLOOKUP(INDIRECT(ADDRESS(2,COLUMN())),OFFSET($BN$2,0,0,ROW()-1,60),ROW()-1,FALSE))</f>
        <v/>
      </c>
      <c r="AB72" t="str">
        <f ca="1">IF(AND(ISNUMBER($AB$271),$B$185=1),$AB$271,HLOOKUP(INDIRECT(ADDRESS(2,COLUMN())),OFFSET($BN$2,0,0,ROW()-1,60),ROW()-1,FALSE))</f>
        <v/>
      </c>
      <c r="AC72" t="str">
        <f ca="1">IF(AND(ISNUMBER($AC$271),$B$185=1),$AC$271,HLOOKUP(INDIRECT(ADDRESS(2,COLUMN())),OFFSET($BN$2,0,0,ROW()-1,60),ROW()-1,FALSE))</f>
        <v/>
      </c>
      <c r="AD72" t="str">
        <f ca="1">IF(AND(ISNUMBER($AD$271),$B$185=1),$AD$271,HLOOKUP(INDIRECT(ADDRESS(2,COLUMN())),OFFSET($BN$2,0,0,ROW()-1,60),ROW()-1,FALSE))</f>
        <v/>
      </c>
      <c r="AE72" t="str">
        <f ca="1">IF(AND(ISNUMBER($AE$271),$B$185=1),$AE$271,HLOOKUP(INDIRECT(ADDRESS(2,COLUMN())),OFFSET($BN$2,0,0,ROW()-1,60),ROW()-1,FALSE))</f>
        <v/>
      </c>
      <c r="AF72" t="str">
        <f ca="1">IF(AND(ISNUMBER($AF$271),$B$185=1),$AF$271,HLOOKUP(INDIRECT(ADDRESS(2,COLUMN())),OFFSET($BN$2,0,0,ROW()-1,60),ROW()-1,FALSE))</f>
        <v/>
      </c>
      <c r="AG72" t="str">
        <f ca="1">IF(AND(ISNUMBER($AG$271),$B$185=1),$AG$271,HLOOKUP(INDIRECT(ADDRESS(2,COLUMN())),OFFSET($BN$2,0,0,ROW()-1,60),ROW()-1,FALSE))</f>
        <v/>
      </c>
      <c r="AH72" t="str">
        <f ca="1">IF(AND(ISNUMBER($AH$271),$B$185=1),$AH$271,HLOOKUP(INDIRECT(ADDRESS(2,COLUMN())),OFFSET($BN$2,0,0,ROW()-1,60),ROW()-1,FALSE))</f>
        <v/>
      </c>
      <c r="AI72" t="str">
        <f ca="1">IF(AND(ISNUMBER($AI$271),$B$185=1),$AI$271,HLOOKUP(INDIRECT(ADDRESS(2,COLUMN())),OFFSET($BN$2,0,0,ROW()-1,60),ROW()-1,FALSE))</f>
        <v/>
      </c>
      <c r="AJ72" t="str">
        <f ca="1">IF(AND(ISNUMBER($AJ$271),$B$185=1),$AJ$271,HLOOKUP(INDIRECT(ADDRESS(2,COLUMN())),OFFSET($BN$2,0,0,ROW()-1,60),ROW()-1,FALSE))</f>
        <v/>
      </c>
      <c r="AK72" t="str">
        <f ca="1">IF(AND(ISNUMBER($AK$271),$B$185=1),$AK$271,HLOOKUP(INDIRECT(ADDRESS(2,COLUMN())),OFFSET($BN$2,0,0,ROW()-1,60),ROW()-1,FALSE))</f>
        <v/>
      </c>
      <c r="AL72" t="str">
        <f ca="1">IF(AND(ISNUMBER($AL$271),$B$185=1),$AL$271,HLOOKUP(INDIRECT(ADDRESS(2,COLUMN())),OFFSET($BN$2,0,0,ROW()-1,60),ROW()-1,FALSE))</f>
        <v/>
      </c>
      <c r="AM72" t="str">
        <f ca="1">IF(AND(ISNUMBER($AM$271),$B$185=1),$AM$271,HLOOKUP(INDIRECT(ADDRESS(2,COLUMN())),OFFSET($BN$2,0,0,ROW()-1,60),ROW()-1,FALSE))</f>
        <v/>
      </c>
      <c r="AN72" t="str">
        <f ca="1">IF(AND(ISNUMBER($AN$271),$B$185=1),$AN$271,HLOOKUP(INDIRECT(ADDRESS(2,COLUMN())),OFFSET($BN$2,0,0,ROW()-1,60),ROW()-1,FALSE))</f>
        <v/>
      </c>
      <c r="AO72" t="str">
        <f ca="1">IF(AND(ISNUMBER($AO$271),$B$185=1),$AO$271,HLOOKUP(INDIRECT(ADDRESS(2,COLUMN())),OFFSET($BN$2,0,0,ROW()-1,60),ROW()-1,FALSE))</f>
        <v/>
      </c>
      <c r="AP72" t="str">
        <f ca="1">IF(AND(ISNUMBER($AP$271),$B$185=1),$AP$271,HLOOKUP(INDIRECT(ADDRESS(2,COLUMN())),OFFSET($BN$2,0,0,ROW()-1,60),ROW()-1,FALSE))</f>
        <v/>
      </c>
      <c r="AQ72" t="str">
        <f ca="1">IF(AND(ISNUMBER($AQ$271),$B$185=1),$AQ$271,HLOOKUP(INDIRECT(ADDRESS(2,COLUMN())),OFFSET($BN$2,0,0,ROW()-1,60),ROW()-1,FALSE))</f>
        <v/>
      </c>
      <c r="AR72" t="str">
        <f ca="1">IF(AND(ISNUMBER($AR$271),$B$185=1),$AR$271,HLOOKUP(INDIRECT(ADDRESS(2,COLUMN())),OFFSET($BN$2,0,0,ROW()-1,60),ROW()-1,FALSE))</f>
        <v/>
      </c>
      <c r="AS72" t="str">
        <f ca="1">IF(AND(ISNUMBER($AS$271),$B$185=1),$AS$271,HLOOKUP(INDIRECT(ADDRESS(2,COLUMN())),OFFSET($BN$2,0,0,ROW()-1,60),ROW()-1,FALSE))</f>
        <v/>
      </c>
      <c r="AT72" t="str">
        <f ca="1">IF(AND(ISNUMBER($AT$271),$B$185=1),$AT$271,HLOOKUP(INDIRECT(ADDRESS(2,COLUMN())),OFFSET($BN$2,0,0,ROW()-1,60),ROW()-1,FALSE))</f>
        <v/>
      </c>
      <c r="AU72" t="str">
        <f ca="1">IF(AND(ISNUMBER($AU$271),$B$185=1),$AU$271,HLOOKUP(INDIRECT(ADDRESS(2,COLUMN())),OFFSET($BN$2,0,0,ROW()-1,60),ROW()-1,FALSE))</f>
        <v/>
      </c>
      <c r="AV72" t="str">
        <f ca="1">IF(AND(ISNUMBER($AV$271),$B$185=1),$AV$271,HLOOKUP(INDIRECT(ADDRESS(2,COLUMN())),OFFSET($BN$2,0,0,ROW()-1,60),ROW()-1,FALSE))</f>
        <v/>
      </c>
      <c r="AW72" t="str">
        <f ca="1">IF(AND(ISNUMBER($AW$271),$B$185=1),$AW$271,HLOOKUP(INDIRECT(ADDRESS(2,COLUMN())),OFFSET($BN$2,0,0,ROW()-1,60),ROW()-1,FALSE))</f>
        <v/>
      </c>
      <c r="AX72" t="str">
        <f ca="1">IF(AND(ISNUMBER($AX$271),$B$185=1),$AX$271,HLOOKUP(INDIRECT(ADDRESS(2,COLUMN())),OFFSET($BN$2,0,0,ROW()-1,60),ROW()-1,FALSE))</f>
        <v/>
      </c>
      <c r="AY72" t="str">
        <f ca="1">IF(AND(ISNUMBER($AY$271),$B$185=1),$AY$271,HLOOKUP(INDIRECT(ADDRESS(2,COLUMN())),OFFSET($BN$2,0,0,ROW()-1,60),ROW()-1,FALSE))</f>
        <v/>
      </c>
      <c r="AZ72" t="str">
        <f ca="1">IF(AND(ISNUMBER($AZ$271),$B$185=1),$AZ$271,HLOOKUP(INDIRECT(ADDRESS(2,COLUMN())),OFFSET($BN$2,0,0,ROW()-1,60),ROW()-1,FALSE))</f>
        <v/>
      </c>
      <c r="BA72" t="str">
        <f ca="1">IF(AND(ISNUMBER($BA$271),$B$185=1),$BA$271,HLOOKUP(INDIRECT(ADDRESS(2,COLUMN())),OFFSET($BN$2,0,0,ROW()-1,60),ROW()-1,FALSE))</f>
        <v/>
      </c>
      <c r="BB72" t="str">
        <f ca="1">IF(AND(ISNUMBER($BB$271),$B$185=1),$BB$271,HLOOKUP(INDIRECT(ADDRESS(2,COLUMN())),OFFSET($BN$2,0,0,ROW()-1,60),ROW()-1,FALSE))</f>
        <v/>
      </c>
      <c r="BC72" t="str">
        <f ca="1">IF(AND(ISNUMBER($BC$271),$B$185=1),$BC$271,HLOOKUP(INDIRECT(ADDRESS(2,COLUMN())),OFFSET($BN$2,0,0,ROW()-1,60),ROW()-1,FALSE))</f>
        <v/>
      </c>
      <c r="BD72" t="str">
        <f ca="1">IF(AND(ISNUMBER($BD$271),$B$185=1),$BD$271,HLOOKUP(INDIRECT(ADDRESS(2,COLUMN())),OFFSET($BN$2,0,0,ROW()-1,60),ROW()-1,FALSE))</f>
        <v/>
      </c>
      <c r="BE72" t="str">
        <f ca="1">IF(AND(ISNUMBER($BE$271),$B$185=1),$BE$271,HLOOKUP(INDIRECT(ADDRESS(2,COLUMN())),OFFSET($BN$2,0,0,ROW()-1,60),ROW()-1,FALSE))</f>
        <v/>
      </c>
      <c r="BF72" t="str">
        <f ca="1">IF(AND(ISNUMBER($BF$271),$B$185=1),$BF$271,HLOOKUP(INDIRECT(ADDRESS(2,COLUMN())),OFFSET($BN$2,0,0,ROW()-1,60),ROW()-1,FALSE))</f>
        <v/>
      </c>
      <c r="BG72" t="str">
        <f ca="1">IF(AND(ISNUMBER($BG$271),$B$185=1),$BG$271,HLOOKUP(INDIRECT(ADDRESS(2,COLUMN())),OFFSET($BN$2,0,0,ROW()-1,60),ROW()-1,FALSE))</f>
        <v/>
      </c>
      <c r="BH72" t="str">
        <f ca="1">IF(AND(ISNUMBER($BH$271),$B$185=1),$BH$271,HLOOKUP(INDIRECT(ADDRESS(2,COLUMN())),OFFSET($BN$2,0,0,ROW()-1,60),ROW()-1,FALSE))</f>
        <v/>
      </c>
      <c r="BI72" t="str">
        <f ca="1">IF(AND(ISNUMBER($BI$271),$B$185=1),$BI$271,HLOOKUP(INDIRECT(ADDRESS(2,COLUMN())),OFFSET($BN$2,0,0,ROW()-1,60),ROW()-1,FALSE))</f>
        <v/>
      </c>
      <c r="BJ72" t="str">
        <f ca="1">IF(AND(ISNUMBER($BJ$271),$B$185=1),$BJ$271,HLOOKUP(INDIRECT(ADDRESS(2,COLUMN())),OFFSET($BN$2,0,0,ROW()-1,60),ROW()-1,FALSE))</f>
        <v/>
      </c>
      <c r="BK72" t="str">
        <f ca="1">IF(AND(ISNUMBER($BK$271),$B$185=1),$BK$271,HLOOKUP(INDIRECT(ADDRESS(2,COLUMN())),OFFSET($BN$2,0,0,ROW()-1,60),ROW()-1,FALSE))</f>
        <v/>
      </c>
      <c r="BL72" t="str">
        <f ca="1">IF(AND(ISNUMBER($BL$271),$B$185=1),$BL$271,HLOOKUP(INDIRECT(ADDRESS(2,COLUMN())),OFFSET($BN$2,0,0,ROW()-1,60),ROW()-1,FALSE))</f>
        <v/>
      </c>
      <c r="BM72" t="str">
        <f ca="1">IF(AND(ISNUMBER($BM$271),$B$185=1),$BM$271,HLOOKUP(INDIRECT(ADDRESS(2,COLUMN())),OFFSET($BN$2,0,0,ROW()-1,60),ROW()-1,FALSE))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 t="str">
        <f>""</f>
        <v/>
      </c>
      <c r="CU72" t="str">
        <f>""</f>
        <v/>
      </c>
      <c r="CV72" t="str">
        <f>""</f>
        <v/>
      </c>
      <c r="CW72" t="str">
        <f>""</f>
        <v/>
      </c>
      <c r="CX72" t="str">
        <f>""</f>
        <v/>
      </c>
      <c r="CY72" t="str">
        <f>""</f>
        <v/>
      </c>
      <c r="CZ72" t="str">
        <f>""</f>
        <v/>
      </c>
      <c r="DA72" t="str">
        <f>""</f>
        <v/>
      </c>
      <c r="DB72" t="str">
        <f>""</f>
        <v/>
      </c>
      <c r="DC72" t="str">
        <f>""</f>
        <v/>
      </c>
      <c r="DD72" t="str">
        <f>""</f>
        <v/>
      </c>
      <c r="DE72" t="str">
        <f>""</f>
        <v/>
      </c>
      <c r="DF72" t="str">
        <f>""</f>
        <v/>
      </c>
      <c r="DG72" t="str">
        <f>""</f>
        <v/>
      </c>
      <c r="DH72" t="str">
        <f>""</f>
        <v/>
      </c>
      <c r="DI72" t="str">
        <f>""</f>
        <v/>
      </c>
      <c r="DJ72" t="str">
        <f>""</f>
        <v/>
      </c>
      <c r="DK72" t="str">
        <f>""</f>
        <v/>
      </c>
      <c r="DL72" t="str">
        <f>""</f>
        <v/>
      </c>
      <c r="DM72" t="str">
        <f>""</f>
        <v/>
      </c>
      <c r="DN72" t="str">
        <f>""</f>
        <v/>
      </c>
      <c r="DO72" t="str">
        <f>""</f>
        <v/>
      </c>
      <c r="DP72" t="str">
        <f>""</f>
        <v/>
      </c>
      <c r="DQ72" t="str">
        <f>""</f>
        <v/>
      </c>
      <c r="DR72" t="str">
        <f>""</f>
        <v/>
      </c>
      <c r="DS72" t="str">
        <f>""</f>
        <v/>
      </c>
      <c r="DT72" t="str">
        <f>""</f>
        <v/>
      </c>
      <c r="DU72" t="str">
        <f>""</f>
        <v/>
      </c>
    </row>
    <row r="73" spans="1:125">
      <c r="A73" t="str">
        <f>"    PNC Financial Services Group I"</f>
        <v xml:space="preserve">    PNC Financial Services Group I</v>
      </c>
      <c r="B73" t="str">
        <f>"PNC US Equity"</f>
        <v>PNC US Equity</v>
      </c>
      <c r="C73" t="str">
        <f t="shared" si="7"/>
        <v>BS962</v>
      </c>
      <c r="D73" t="str">
        <f t="shared" si="8"/>
        <v>BS_RSD_MTG_SRVC_PORTFOLIO</v>
      </c>
      <c r="E73" t="str">
        <f t="shared" si="9"/>
        <v>Dynamic</v>
      </c>
      <c r="F73" t="str">
        <f ca="1">IF(AND(ISNUMBER($F$272),$B$185=1),$F$272,HLOOKUP(INDIRECT(ADDRESS(2,COLUMN())),OFFSET($BN$2,0,0,ROW()-1,60),ROW()-1,FALSE))</f>
        <v/>
      </c>
      <c r="G73" t="str">
        <f ca="1">IF(AND(ISNUMBER($G$272),$B$185=1),$G$272,HLOOKUP(INDIRECT(ADDRESS(2,COLUMN())),OFFSET($BN$2,0,0,ROW()-1,60),ROW()-1,FALSE))</f>
        <v/>
      </c>
      <c r="H73" t="str">
        <f ca="1">IF(AND(ISNUMBER($H$272),$B$185=1),$H$272,HLOOKUP(INDIRECT(ADDRESS(2,COLUMN())),OFFSET($BN$2,0,0,ROW()-1,60),ROW()-1,FALSE))</f>
        <v/>
      </c>
      <c r="I73" t="str">
        <f ca="1">IF(AND(ISNUMBER($I$272),$B$185=1),$I$272,HLOOKUP(INDIRECT(ADDRESS(2,COLUMN())),OFFSET($BN$2,0,0,ROW()-1,60),ROW()-1,FALSE))</f>
        <v/>
      </c>
      <c r="J73" t="str">
        <f ca="1">IF(AND(ISNUMBER($J$272),$B$185=1),$J$272,HLOOKUP(INDIRECT(ADDRESS(2,COLUMN())),OFFSET($BN$2,0,0,ROW()-1,60),ROW()-1,FALSE))</f>
        <v/>
      </c>
      <c r="K73" t="str">
        <f ca="1">IF(AND(ISNUMBER($K$272),$B$185=1),$K$272,HLOOKUP(INDIRECT(ADDRESS(2,COLUMN())),OFFSET($BN$2,0,0,ROW()-1,60),ROW()-1,FALSE))</f>
        <v/>
      </c>
      <c r="L73" t="str">
        <f ca="1">IF(AND(ISNUMBER($L$272),$B$185=1),$L$272,HLOOKUP(INDIRECT(ADDRESS(2,COLUMN())),OFFSET($BN$2,0,0,ROW()-1,60),ROW()-1,FALSE))</f>
        <v/>
      </c>
      <c r="M73" t="str">
        <f ca="1">IF(AND(ISNUMBER($M$272),$B$185=1),$M$272,HLOOKUP(INDIRECT(ADDRESS(2,COLUMN())),OFFSET($BN$2,0,0,ROW()-1,60),ROW()-1,FALSE))</f>
        <v/>
      </c>
      <c r="N73" t="str">
        <f ca="1">IF(AND(ISNUMBER($N$272),$B$185=1),$N$272,HLOOKUP(INDIRECT(ADDRESS(2,COLUMN())),OFFSET($BN$2,0,0,ROW()-1,60),ROW()-1,FALSE))</f>
        <v/>
      </c>
      <c r="O73" t="str">
        <f ca="1">IF(AND(ISNUMBER($O$272),$B$185=1),$O$272,HLOOKUP(INDIRECT(ADDRESS(2,COLUMN())),OFFSET($BN$2,0,0,ROW()-1,60),ROW()-1,FALSE))</f>
        <v/>
      </c>
      <c r="P73" t="str">
        <f ca="1">IF(AND(ISNUMBER($P$272),$B$185=1),$P$272,HLOOKUP(INDIRECT(ADDRESS(2,COLUMN())),OFFSET($BN$2,0,0,ROW()-1,60),ROW()-1,FALSE))</f>
        <v/>
      </c>
      <c r="Q73" t="str">
        <f ca="1">IF(AND(ISNUMBER($Q$272),$B$185=1),$Q$272,HLOOKUP(INDIRECT(ADDRESS(2,COLUMN())),OFFSET($BN$2,0,0,ROW()-1,60),ROW()-1,FALSE))</f>
        <v/>
      </c>
      <c r="R73" t="str">
        <f ca="1">IF(AND(ISNUMBER($R$272),$B$185=1),$R$272,HLOOKUP(INDIRECT(ADDRESS(2,COLUMN())),OFFSET($BN$2,0,0,ROW()-1,60),ROW()-1,FALSE))</f>
        <v/>
      </c>
      <c r="S73" t="str">
        <f ca="1">IF(AND(ISNUMBER($S$272),$B$185=1),$S$272,HLOOKUP(INDIRECT(ADDRESS(2,COLUMN())),OFFSET($BN$2,0,0,ROW()-1,60),ROW()-1,FALSE))</f>
        <v/>
      </c>
      <c r="T73" t="str">
        <f ca="1">IF(AND(ISNUMBER($T$272),$B$185=1),$T$272,HLOOKUP(INDIRECT(ADDRESS(2,COLUMN())),OFFSET($BN$2,0,0,ROW()-1,60),ROW()-1,FALSE))</f>
        <v/>
      </c>
      <c r="U73" t="str">
        <f ca="1">IF(AND(ISNUMBER($U$272),$B$185=1),$U$272,HLOOKUP(INDIRECT(ADDRESS(2,COLUMN())),OFFSET($BN$2,0,0,ROW()-1,60),ROW()-1,FALSE))</f>
        <v/>
      </c>
      <c r="V73" t="str">
        <f ca="1">IF(AND(ISNUMBER($V$272),$B$185=1),$V$272,HLOOKUP(INDIRECT(ADDRESS(2,COLUMN())),OFFSET($BN$2,0,0,ROW()-1,60),ROW()-1,FALSE))</f>
        <v/>
      </c>
      <c r="W73" t="str">
        <f ca="1">IF(AND(ISNUMBER($W$272),$B$185=1),$W$272,HLOOKUP(INDIRECT(ADDRESS(2,COLUMN())),OFFSET($BN$2,0,0,ROW()-1,60),ROW()-1,FALSE))</f>
        <v/>
      </c>
      <c r="X73" t="str">
        <f ca="1">IF(AND(ISNUMBER($X$272),$B$185=1),$X$272,HLOOKUP(INDIRECT(ADDRESS(2,COLUMN())),OFFSET($BN$2,0,0,ROW()-1,60),ROW()-1,FALSE))</f>
        <v/>
      </c>
      <c r="Y73" t="str">
        <f ca="1">IF(AND(ISNUMBER($Y$272),$B$185=1),$Y$272,HLOOKUP(INDIRECT(ADDRESS(2,COLUMN())),OFFSET($BN$2,0,0,ROW()-1,60),ROW()-1,FALSE))</f>
        <v/>
      </c>
      <c r="Z73" t="str">
        <f ca="1">IF(AND(ISNUMBER($Z$272),$B$185=1),$Z$272,HLOOKUP(INDIRECT(ADDRESS(2,COLUMN())),OFFSET($BN$2,0,0,ROW()-1,60),ROW()-1,FALSE))</f>
        <v/>
      </c>
      <c r="AA73" t="str">
        <f ca="1">IF(AND(ISNUMBER($AA$272),$B$185=1),$AA$272,HLOOKUP(INDIRECT(ADDRESS(2,COLUMN())),OFFSET($BN$2,0,0,ROW()-1,60),ROW()-1,FALSE))</f>
        <v/>
      </c>
      <c r="AB73" t="str">
        <f ca="1">IF(AND(ISNUMBER($AB$272),$B$185=1),$AB$272,HLOOKUP(INDIRECT(ADDRESS(2,COLUMN())),OFFSET($BN$2,0,0,ROW()-1,60),ROW()-1,FALSE))</f>
        <v/>
      </c>
      <c r="AC73" t="str">
        <f ca="1">IF(AND(ISNUMBER($AC$272),$B$185=1),$AC$272,HLOOKUP(INDIRECT(ADDRESS(2,COLUMN())),OFFSET($BN$2,0,0,ROW()-1,60),ROW()-1,FALSE))</f>
        <v/>
      </c>
      <c r="AD73" t="str">
        <f ca="1">IF(AND(ISNUMBER($AD$272),$B$185=1),$AD$272,HLOOKUP(INDIRECT(ADDRESS(2,COLUMN())),OFFSET($BN$2,0,0,ROW()-1,60),ROW()-1,FALSE))</f>
        <v/>
      </c>
      <c r="AE73" t="str">
        <f ca="1">IF(AND(ISNUMBER($AE$272),$B$185=1),$AE$272,HLOOKUP(INDIRECT(ADDRESS(2,COLUMN())),OFFSET($BN$2,0,0,ROW()-1,60),ROW()-1,FALSE))</f>
        <v/>
      </c>
      <c r="AF73" t="str">
        <f ca="1">IF(AND(ISNUMBER($AF$272),$B$185=1),$AF$272,HLOOKUP(INDIRECT(ADDRESS(2,COLUMN())),OFFSET($BN$2,0,0,ROW()-1,60),ROW()-1,FALSE))</f>
        <v/>
      </c>
      <c r="AG73" t="str">
        <f ca="1">IF(AND(ISNUMBER($AG$272),$B$185=1),$AG$272,HLOOKUP(INDIRECT(ADDRESS(2,COLUMN())),OFFSET($BN$2,0,0,ROW()-1,60),ROW()-1,FALSE))</f>
        <v/>
      </c>
      <c r="AH73" t="str">
        <f ca="1">IF(AND(ISNUMBER($AH$272),$B$185=1),$AH$272,HLOOKUP(INDIRECT(ADDRESS(2,COLUMN())),OFFSET($BN$2,0,0,ROW()-1,60),ROW()-1,FALSE))</f>
        <v/>
      </c>
      <c r="AI73" t="str">
        <f ca="1">IF(AND(ISNUMBER($AI$272),$B$185=1),$AI$272,HLOOKUP(INDIRECT(ADDRESS(2,COLUMN())),OFFSET($BN$2,0,0,ROW()-1,60),ROW()-1,FALSE))</f>
        <v/>
      </c>
      <c r="AJ73" t="str">
        <f ca="1">IF(AND(ISNUMBER($AJ$272),$B$185=1),$AJ$272,HLOOKUP(INDIRECT(ADDRESS(2,COLUMN())),OFFSET($BN$2,0,0,ROW()-1,60),ROW()-1,FALSE))</f>
        <v/>
      </c>
      <c r="AK73" t="str">
        <f ca="1">IF(AND(ISNUMBER($AK$272),$B$185=1),$AK$272,HLOOKUP(INDIRECT(ADDRESS(2,COLUMN())),OFFSET($BN$2,0,0,ROW()-1,60),ROW()-1,FALSE))</f>
        <v/>
      </c>
      <c r="AL73" t="str">
        <f ca="1">IF(AND(ISNUMBER($AL$272),$B$185=1),$AL$272,HLOOKUP(INDIRECT(ADDRESS(2,COLUMN())),OFFSET($BN$2,0,0,ROW()-1,60),ROW()-1,FALSE))</f>
        <v/>
      </c>
      <c r="AM73" t="str">
        <f ca="1">IF(AND(ISNUMBER($AM$272),$B$185=1),$AM$272,HLOOKUP(INDIRECT(ADDRESS(2,COLUMN())),OFFSET($BN$2,0,0,ROW()-1,60),ROW()-1,FALSE))</f>
        <v/>
      </c>
      <c r="AN73" t="str">
        <f ca="1">IF(AND(ISNUMBER($AN$272),$B$185=1),$AN$272,HLOOKUP(INDIRECT(ADDRESS(2,COLUMN())),OFFSET($BN$2,0,0,ROW()-1,60),ROW()-1,FALSE))</f>
        <v/>
      </c>
      <c r="AO73" t="str">
        <f ca="1">IF(AND(ISNUMBER($AO$272),$B$185=1),$AO$272,HLOOKUP(INDIRECT(ADDRESS(2,COLUMN())),OFFSET($BN$2,0,0,ROW()-1,60),ROW()-1,FALSE))</f>
        <v/>
      </c>
      <c r="AP73" t="str">
        <f ca="1">IF(AND(ISNUMBER($AP$272),$B$185=1),$AP$272,HLOOKUP(INDIRECT(ADDRESS(2,COLUMN())),OFFSET($BN$2,0,0,ROW()-1,60),ROW()-1,FALSE))</f>
        <v/>
      </c>
      <c r="AQ73" t="str">
        <f ca="1">IF(AND(ISNUMBER($AQ$272),$B$185=1),$AQ$272,HLOOKUP(INDIRECT(ADDRESS(2,COLUMN())),OFFSET($BN$2,0,0,ROW()-1,60),ROW()-1,FALSE))</f>
        <v/>
      </c>
      <c r="AR73" t="str">
        <f ca="1">IF(AND(ISNUMBER($AR$272),$B$185=1),$AR$272,HLOOKUP(INDIRECT(ADDRESS(2,COLUMN())),OFFSET($BN$2,0,0,ROW()-1,60),ROW()-1,FALSE))</f>
        <v/>
      </c>
      <c r="AS73" t="str">
        <f ca="1">IF(AND(ISNUMBER($AS$272),$B$185=1),$AS$272,HLOOKUP(INDIRECT(ADDRESS(2,COLUMN())),OFFSET($BN$2,0,0,ROW()-1,60),ROW()-1,FALSE))</f>
        <v/>
      </c>
      <c r="AT73" t="str">
        <f ca="1">IF(AND(ISNUMBER($AT$272),$B$185=1),$AT$272,HLOOKUP(INDIRECT(ADDRESS(2,COLUMN())),OFFSET($BN$2,0,0,ROW()-1,60),ROW()-1,FALSE))</f>
        <v/>
      </c>
      <c r="AU73" t="str">
        <f ca="1">IF(AND(ISNUMBER($AU$272),$B$185=1),$AU$272,HLOOKUP(INDIRECT(ADDRESS(2,COLUMN())),OFFSET($BN$2,0,0,ROW()-1,60),ROW()-1,FALSE))</f>
        <v/>
      </c>
      <c r="AV73" t="str">
        <f ca="1">IF(AND(ISNUMBER($AV$272),$B$185=1),$AV$272,HLOOKUP(INDIRECT(ADDRESS(2,COLUMN())),OFFSET($BN$2,0,0,ROW()-1,60),ROW()-1,FALSE))</f>
        <v/>
      </c>
      <c r="AW73" t="str">
        <f ca="1">IF(AND(ISNUMBER($AW$272),$B$185=1),$AW$272,HLOOKUP(INDIRECT(ADDRESS(2,COLUMN())),OFFSET($BN$2,0,0,ROW()-1,60),ROW()-1,FALSE))</f>
        <v/>
      </c>
      <c r="AX73">
        <f ca="1">IF(AND(ISNUMBER($AX$272),$B$185=1),$AX$272,HLOOKUP(INDIRECT(ADDRESS(2,COLUMN())),OFFSET($BN$2,0,0,ROW()-1,60),ROW()-1,FALSE))</f>
        <v>114000</v>
      </c>
      <c r="AY73" t="str">
        <f ca="1">IF(AND(ISNUMBER($AY$272),$B$185=1),$AY$272,HLOOKUP(INDIRECT(ADDRESS(2,COLUMN())),OFFSET($BN$2,0,0,ROW()-1,60),ROW()-1,FALSE))</f>
        <v/>
      </c>
      <c r="AZ73" t="str">
        <f ca="1">IF(AND(ISNUMBER($AZ$272),$B$185=1),$AZ$272,HLOOKUP(INDIRECT(ADDRESS(2,COLUMN())),OFFSET($BN$2,0,0,ROW()-1,60),ROW()-1,FALSE))</f>
        <v/>
      </c>
      <c r="BA73" t="str">
        <f ca="1">IF(AND(ISNUMBER($BA$272),$B$185=1),$BA$272,HLOOKUP(INDIRECT(ADDRESS(2,COLUMN())),OFFSET($BN$2,0,0,ROW()-1,60),ROW()-1,FALSE))</f>
        <v/>
      </c>
      <c r="BB73">
        <f ca="1">IF(AND(ISNUMBER($BB$272),$B$185=1),$BB$272,HLOOKUP(INDIRECT(ADDRESS(2,COLUMN())),OFFSET($BN$2,0,0,ROW()-1,60),ROW()-1,FALSE))</f>
        <v>135000</v>
      </c>
      <c r="BC73" t="str">
        <f ca="1">IF(AND(ISNUMBER($BC$272),$B$185=1),$BC$272,HLOOKUP(INDIRECT(ADDRESS(2,COLUMN())),OFFSET($BN$2,0,0,ROW()-1,60),ROW()-1,FALSE))</f>
        <v/>
      </c>
      <c r="BD73" t="str">
        <f ca="1">IF(AND(ISNUMBER($BD$272),$B$185=1),$BD$272,HLOOKUP(INDIRECT(ADDRESS(2,COLUMN())),OFFSET($BN$2,0,0,ROW()-1,60),ROW()-1,FALSE))</f>
        <v/>
      </c>
      <c r="BE73" t="str">
        <f ca="1">IF(AND(ISNUMBER($BE$272),$B$185=1),$BE$272,HLOOKUP(INDIRECT(ADDRESS(2,COLUMN())),OFFSET($BN$2,0,0,ROW()-1,60),ROW()-1,FALSE))</f>
        <v/>
      </c>
      <c r="BF73">
        <f ca="1">IF(AND(ISNUMBER($BF$272),$B$185=1),$BF$272,HLOOKUP(INDIRECT(ADDRESS(2,COLUMN())),OFFSET($BN$2,0,0,ROW()-1,60),ROW()-1,FALSE))</f>
        <v>131000</v>
      </c>
      <c r="BG73" t="str">
        <f ca="1">IF(AND(ISNUMBER($BG$272),$B$185=1),$BG$272,HLOOKUP(INDIRECT(ADDRESS(2,COLUMN())),OFFSET($BN$2,0,0,ROW()-1,60),ROW()-1,FALSE))</f>
        <v/>
      </c>
      <c r="BH73" t="str">
        <f ca="1">IF(AND(ISNUMBER($BH$272),$B$185=1),$BH$272,HLOOKUP(INDIRECT(ADDRESS(2,COLUMN())),OFFSET($BN$2,0,0,ROW()-1,60),ROW()-1,FALSE))</f>
        <v/>
      </c>
      <c r="BI73" t="str">
        <f ca="1">IF(AND(ISNUMBER($BI$272),$B$185=1),$BI$272,HLOOKUP(INDIRECT(ADDRESS(2,COLUMN())),OFFSET($BN$2,0,0,ROW()-1,60),ROW()-1,FALSE))</f>
        <v/>
      </c>
      <c r="BJ73">
        <f ca="1">IF(AND(ISNUMBER($BJ$272),$B$185=1),$BJ$272,HLOOKUP(INDIRECT(ADDRESS(2,COLUMN())),OFFSET($BN$2,0,0,ROW()-1,60),ROW()-1,FALSE))</f>
        <v>139000</v>
      </c>
      <c r="BK73" t="str">
        <f ca="1">IF(AND(ISNUMBER($BK$272),$B$185=1),$BK$272,HLOOKUP(INDIRECT(ADDRESS(2,COLUMN())),OFFSET($BN$2,0,0,ROW()-1,60),ROW()-1,FALSE))</f>
        <v/>
      </c>
      <c r="BL73" t="str">
        <f ca="1">IF(AND(ISNUMBER($BL$272),$B$185=1),$BL$272,HLOOKUP(INDIRECT(ADDRESS(2,COLUMN())),OFFSET($BN$2,0,0,ROW()-1,60),ROW()-1,FALSE))</f>
        <v/>
      </c>
      <c r="BM73" t="str">
        <f ca="1">IF(AND(ISNUMBER($BM$272),$B$185=1),$BM$272,HLOOKUP(INDIRECT(ADDRESS(2,COLUMN())),OFFSET($BN$2,0,0,ROW()-1,60),ROW()-1,FALSE))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  <c r="BT73" t="str">
        <f>""</f>
        <v/>
      </c>
      <c r="BU73" t="str">
        <f>""</f>
        <v/>
      </c>
      <c r="BV73" t="str">
        <f>""</f>
        <v/>
      </c>
      <c r="BW73" t="str">
        <f>""</f>
        <v/>
      </c>
      <c r="BX73" t="str">
        <f>""</f>
        <v/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""</f>
        <v/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  <c r="CI73" t="str">
        <f>""</f>
        <v/>
      </c>
      <c r="CJ73" t="str">
        <f>""</f>
        <v/>
      </c>
      <c r="CK73" t="str">
        <f>""</f>
        <v/>
      </c>
      <c r="CL73" t="str">
        <f>""</f>
        <v/>
      </c>
      <c r="CM73" t="str">
        <f>""</f>
        <v/>
      </c>
      <c r="CN73" t="str">
        <f>""</f>
        <v/>
      </c>
      <c r="CO73" t="str">
        <f>""</f>
        <v/>
      </c>
      <c r="CP73" t="str">
        <f>""</f>
        <v/>
      </c>
      <c r="CQ73" t="str">
        <f>""</f>
        <v/>
      </c>
      <c r="CR73" t="str">
        <f>""</f>
        <v/>
      </c>
      <c r="CS73" t="str">
        <f>""</f>
        <v/>
      </c>
      <c r="CT73" t="str">
        <f>""</f>
        <v/>
      </c>
      <c r="CU73" t="str">
        <f>""</f>
        <v/>
      </c>
      <c r="CV73" t="str">
        <f>""</f>
        <v/>
      </c>
      <c r="CW73" t="str">
        <f>""</f>
        <v/>
      </c>
      <c r="CX73" t="str">
        <f>""</f>
        <v/>
      </c>
      <c r="CY73" t="str">
        <f>""</f>
        <v/>
      </c>
      <c r="CZ73" t="str">
        <f>""</f>
        <v/>
      </c>
      <c r="DA73" t="str">
        <f>""</f>
        <v/>
      </c>
      <c r="DB73" t="str">
        <f>""</f>
        <v/>
      </c>
      <c r="DC73" t="str">
        <f>""</f>
        <v/>
      </c>
      <c r="DD73" t="str">
        <f>""</f>
        <v/>
      </c>
      <c r="DE73" t="str">
        <f>""</f>
        <v/>
      </c>
      <c r="DF73">
        <f>114000</f>
        <v>114000</v>
      </c>
      <c r="DG73" t="str">
        <f>""</f>
        <v/>
      </c>
      <c r="DH73" t="str">
        <f>""</f>
        <v/>
      </c>
      <c r="DI73" t="str">
        <f>""</f>
        <v/>
      </c>
      <c r="DJ73">
        <f>135000</f>
        <v>135000</v>
      </c>
      <c r="DK73" t="str">
        <f>""</f>
        <v/>
      </c>
      <c r="DL73" t="str">
        <f>""</f>
        <v/>
      </c>
      <c r="DM73" t="str">
        <f>""</f>
        <v/>
      </c>
      <c r="DN73">
        <f>131000</f>
        <v>131000</v>
      </c>
      <c r="DO73" t="str">
        <f>""</f>
        <v/>
      </c>
      <c r="DP73" t="str">
        <f>""</f>
        <v/>
      </c>
      <c r="DQ73" t="str">
        <f>""</f>
        <v/>
      </c>
      <c r="DR73">
        <f>139000</f>
        <v>139000</v>
      </c>
      <c r="DS73" t="str">
        <f>""</f>
        <v/>
      </c>
      <c r="DT73" t="str">
        <f>""</f>
        <v/>
      </c>
      <c r="DU73" t="str">
        <f>""</f>
        <v/>
      </c>
    </row>
    <row r="74" spans="1:125">
      <c r="A74" t="str">
        <f>"    Regions Financial Corp"</f>
        <v xml:space="preserve">    Regions Financial Corp</v>
      </c>
      <c r="B74" t="str">
        <f>"RF US Equity"</f>
        <v>RF US Equity</v>
      </c>
      <c r="C74" t="str">
        <f t="shared" si="7"/>
        <v>BS962</v>
      </c>
      <c r="D74" t="str">
        <f t="shared" si="8"/>
        <v>BS_RSD_MTG_SRVC_PORTFOLIO</v>
      </c>
      <c r="E74" t="str">
        <f t="shared" si="9"/>
        <v>Dynamic</v>
      </c>
      <c r="F74" t="str">
        <f ca="1">IF(AND(ISNUMBER($F$273),$B$185=1),$F$273,HLOOKUP(INDIRECT(ADDRESS(2,COLUMN())),OFFSET($BN$2,0,0,ROW()-1,60),ROW()-1,FALSE))</f>
        <v/>
      </c>
      <c r="G74" t="str">
        <f ca="1">IF(AND(ISNUMBER($G$273),$B$185=1),$G$273,HLOOKUP(INDIRECT(ADDRESS(2,COLUMN())),OFFSET($BN$2,0,0,ROW()-1,60),ROW()-1,FALSE))</f>
        <v/>
      </c>
      <c r="H74" t="str">
        <f ca="1">IF(AND(ISNUMBER($H$273),$B$185=1),$H$273,HLOOKUP(INDIRECT(ADDRESS(2,COLUMN())),OFFSET($BN$2,0,0,ROW()-1,60),ROW()-1,FALSE))</f>
        <v/>
      </c>
      <c r="I74" t="str">
        <f ca="1">IF(AND(ISNUMBER($I$273),$B$185=1),$I$273,HLOOKUP(INDIRECT(ADDRESS(2,COLUMN())),OFFSET($BN$2,0,0,ROW()-1,60),ROW()-1,FALSE))</f>
        <v/>
      </c>
      <c r="J74" t="str">
        <f ca="1">IF(AND(ISNUMBER($J$273),$B$185=1),$J$273,HLOOKUP(INDIRECT(ADDRESS(2,COLUMN())),OFFSET($BN$2,0,0,ROW()-1,60),ROW()-1,FALSE))</f>
        <v/>
      </c>
      <c r="K74" t="str">
        <f ca="1">IF(AND(ISNUMBER($K$273),$B$185=1),$K$273,HLOOKUP(INDIRECT(ADDRESS(2,COLUMN())),OFFSET($BN$2,0,0,ROW()-1,60),ROW()-1,FALSE))</f>
        <v/>
      </c>
      <c r="L74" t="str">
        <f ca="1">IF(AND(ISNUMBER($L$273),$B$185=1),$L$273,HLOOKUP(INDIRECT(ADDRESS(2,COLUMN())),OFFSET($BN$2,0,0,ROW()-1,60),ROW()-1,FALSE))</f>
        <v/>
      </c>
      <c r="M74" t="str">
        <f ca="1">IF(AND(ISNUMBER($M$273),$B$185=1),$M$273,HLOOKUP(INDIRECT(ADDRESS(2,COLUMN())),OFFSET($BN$2,0,0,ROW()-1,60),ROW()-1,FALSE))</f>
        <v/>
      </c>
      <c r="N74" t="str">
        <f ca="1">IF(AND(ISNUMBER($N$273),$B$185=1),$N$273,HLOOKUP(INDIRECT(ADDRESS(2,COLUMN())),OFFSET($BN$2,0,0,ROW()-1,60),ROW()-1,FALSE))</f>
        <v/>
      </c>
      <c r="O74" t="str">
        <f ca="1">IF(AND(ISNUMBER($O$273),$B$185=1),$O$273,HLOOKUP(INDIRECT(ADDRESS(2,COLUMN())),OFFSET($BN$2,0,0,ROW()-1,60),ROW()-1,FALSE))</f>
        <v/>
      </c>
      <c r="P74" t="str">
        <f ca="1">IF(AND(ISNUMBER($P$273),$B$185=1),$P$273,HLOOKUP(INDIRECT(ADDRESS(2,COLUMN())),OFFSET($BN$2,0,0,ROW()-1,60),ROW()-1,FALSE))</f>
        <v/>
      </c>
      <c r="Q74" t="str">
        <f ca="1">IF(AND(ISNUMBER($Q$273),$B$185=1),$Q$273,HLOOKUP(INDIRECT(ADDRESS(2,COLUMN())),OFFSET($BN$2,0,0,ROW()-1,60),ROW()-1,FALSE))</f>
        <v/>
      </c>
      <c r="R74" t="str">
        <f ca="1">IF(AND(ISNUMBER($R$273),$B$185=1),$R$273,HLOOKUP(INDIRECT(ADDRESS(2,COLUMN())),OFFSET($BN$2,0,0,ROW()-1,60),ROW()-1,FALSE))</f>
        <v/>
      </c>
      <c r="S74" t="str">
        <f ca="1">IF(AND(ISNUMBER($S$273),$B$185=1),$S$273,HLOOKUP(INDIRECT(ADDRESS(2,COLUMN())),OFFSET($BN$2,0,0,ROW()-1,60),ROW()-1,FALSE))</f>
        <v/>
      </c>
      <c r="T74" t="str">
        <f ca="1">IF(AND(ISNUMBER($T$273),$B$185=1),$T$273,HLOOKUP(INDIRECT(ADDRESS(2,COLUMN())),OFFSET($BN$2,0,0,ROW()-1,60),ROW()-1,FALSE))</f>
        <v/>
      </c>
      <c r="U74" t="str">
        <f ca="1">IF(AND(ISNUMBER($U$273),$B$185=1),$U$273,HLOOKUP(INDIRECT(ADDRESS(2,COLUMN())),OFFSET($BN$2,0,0,ROW()-1,60),ROW()-1,FALSE))</f>
        <v/>
      </c>
      <c r="V74" t="str">
        <f ca="1">IF(AND(ISNUMBER($V$273),$B$185=1),$V$273,HLOOKUP(INDIRECT(ADDRESS(2,COLUMN())),OFFSET($BN$2,0,0,ROW()-1,60),ROW()-1,FALSE))</f>
        <v/>
      </c>
      <c r="W74" t="str">
        <f ca="1">IF(AND(ISNUMBER($W$273),$B$185=1),$W$273,HLOOKUP(INDIRECT(ADDRESS(2,COLUMN())),OFFSET($BN$2,0,0,ROW()-1,60),ROW()-1,FALSE))</f>
        <v/>
      </c>
      <c r="X74" t="str">
        <f ca="1">IF(AND(ISNUMBER($X$273),$B$185=1),$X$273,HLOOKUP(INDIRECT(ADDRESS(2,COLUMN())),OFFSET($BN$2,0,0,ROW()-1,60),ROW()-1,FALSE))</f>
        <v/>
      </c>
      <c r="Y74" t="str">
        <f ca="1">IF(AND(ISNUMBER($Y$273),$B$185=1),$Y$273,HLOOKUP(INDIRECT(ADDRESS(2,COLUMN())),OFFSET($BN$2,0,0,ROW()-1,60),ROW()-1,FALSE))</f>
        <v/>
      </c>
      <c r="Z74" t="str">
        <f ca="1">IF(AND(ISNUMBER($Z$273),$B$185=1),$Z$273,HLOOKUP(INDIRECT(ADDRESS(2,COLUMN())),OFFSET($BN$2,0,0,ROW()-1,60),ROW()-1,FALSE))</f>
        <v/>
      </c>
      <c r="AA74" t="str">
        <f ca="1">IF(AND(ISNUMBER($AA$273),$B$185=1),$AA$273,HLOOKUP(INDIRECT(ADDRESS(2,COLUMN())),OFFSET($BN$2,0,0,ROW()-1,60),ROW()-1,FALSE))</f>
        <v/>
      </c>
      <c r="AB74" t="str">
        <f ca="1">IF(AND(ISNUMBER($AB$273),$B$185=1),$AB$273,HLOOKUP(INDIRECT(ADDRESS(2,COLUMN())),OFFSET($BN$2,0,0,ROW()-1,60),ROW()-1,FALSE))</f>
        <v/>
      </c>
      <c r="AC74" t="str">
        <f ca="1">IF(AND(ISNUMBER($AC$273),$B$185=1),$AC$273,HLOOKUP(INDIRECT(ADDRESS(2,COLUMN())),OFFSET($BN$2,0,0,ROW()-1,60),ROW()-1,FALSE))</f>
        <v/>
      </c>
      <c r="AD74" t="str">
        <f ca="1">IF(AND(ISNUMBER($AD$273),$B$185=1),$AD$273,HLOOKUP(INDIRECT(ADDRESS(2,COLUMN())),OFFSET($BN$2,0,0,ROW()-1,60),ROW()-1,FALSE))</f>
        <v/>
      </c>
      <c r="AE74" t="str">
        <f ca="1">IF(AND(ISNUMBER($AE$273),$B$185=1),$AE$273,HLOOKUP(INDIRECT(ADDRESS(2,COLUMN())),OFFSET($BN$2,0,0,ROW()-1,60),ROW()-1,FALSE))</f>
        <v/>
      </c>
      <c r="AF74" t="str">
        <f ca="1">IF(AND(ISNUMBER($AF$273),$B$185=1),$AF$273,HLOOKUP(INDIRECT(ADDRESS(2,COLUMN())),OFFSET($BN$2,0,0,ROW()-1,60),ROW()-1,FALSE))</f>
        <v/>
      </c>
      <c r="AG74" t="str">
        <f ca="1">IF(AND(ISNUMBER($AG$273),$B$185=1),$AG$273,HLOOKUP(INDIRECT(ADDRESS(2,COLUMN())),OFFSET($BN$2,0,0,ROW()-1,60),ROW()-1,FALSE))</f>
        <v/>
      </c>
      <c r="AH74" t="str">
        <f ca="1">IF(AND(ISNUMBER($AH$273),$B$185=1),$AH$273,HLOOKUP(INDIRECT(ADDRESS(2,COLUMN())),OFFSET($BN$2,0,0,ROW()-1,60),ROW()-1,FALSE))</f>
        <v/>
      </c>
      <c r="AI74" t="str">
        <f ca="1">IF(AND(ISNUMBER($AI$273),$B$185=1),$AI$273,HLOOKUP(INDIRECT(ADDRESS(2,COLUMN())),OFFSET($BN$2,0,0,ROW()-1,60),ROW()-1,FALSE))</f>
        <v/>
      </c>
      <c r="AJ74" t="str">
        <f ca="1">IF(AND(ISNUMBER($AJ$273),$B$185=1),$AJ$273,HLOOKUP(INDIRECT(ADDRESS(2,COLUMN())),OFFSET($BN$2,0,0,ROW()-1,60),ROW()-1,FALSE))</f>
        <v/>
      </c>
      <c r="AK74" t="str">
        <f ca="1">IF(AND(ISNUMBER($AK$273),$B$185=1),$AK$273,HLOOKUP(INDIRECT(ADDRESS(2,COLUMN())),OFFSET($BN$2,0,0,ROW()-1,60),ROW()-1,FALSE))</f>
        <v/>
      </c>
      <c r="AL74" t="str">
        <f ca="1">IF(AND(ISNUMBER($AL$273),$B$185=1),$AL$273,HLOOKUP(INDIRECT(ADDRESS(2,COLUMN())),OFFSET($BN$2,0,0,ROW()-1,60),ROW()-1,FALSE))</f>
        <v/>
      </c>
      <c r="AM74" t="str">
        <f ca="1">IF(AND(ISNUMBER($AM$273),$B$185=1),$AM$273,HLOOKUP(INDIRECT(ADDRESS(2,COLUMN())),OFFSET($BN$2,0,0,ROW()-1,60),ROW()-1,FALSE))</f>
        <v/>
      </c>
      <c r="AN74" t="str">
        <f ca="1">IF(AND(ISNUMBER($AN$273),$B$185=1),$AN$273,HLOOKUP(INDIRECT(ADDRESS(2,COLUMN())),OFFSET($BN$2,0,0,ROW()-1,60),ROW()-1,FALSE))</f>
        <v/>
      </c>
      <c r="AO74" t="str">
        <f ca="1">IF(AND(ISNUMBER($AO$273),$B$185=1),$AO$273,HLOOKUP(INDIRECT(ADDRESS(2,COLUMN())),OFFSET($BN$2,0,0,ROW()-1,60),ROW()-1,FALSE))</f>
        <v/>
      </c>
      <c r="AP74" t="str">
        <f ca="1">IF(AND(ISNUMBER($AP$273),$B$185=1),$AP$273,HLOOKUP(INDIRECT(ADDRESS(2,COLUMN())),OFFSET($BN$2,0,0,ROW()-1,60),ROW()-1,FALSE))</f>
        <v/>
      </c>
      <c r="AQ74" t="str">
        <f ca="1">IF(AND(ISNUMBER($AQ$273),$B$185=1),$AQ$273,HLOOKUP(INDIRECT(ADDRESS(2,COLUMN())),OFFSET($BN$2,0,0,ROW()-1,60),ROW()-1,FALSE))</f>
        <v/>
      </c>
      <c r="AR74" t="str">
        <f ca="1">IF(AND(ISNUMBER($AR$273),$B$185=1),$AR$273,HLOOKUP(INDIRECT(ADDRESS(2,COLUMN())),OFFSET($BN$2,0,0,ROW()-1,60),ROW()-1,FALSE))</f>
        <v/>
      </c>
      <c r="AS74" t="str">
        <f ca="1">IF(AND(ISNUMBER($AS$273),$B$185=1),$AS$273,HLOOKUP(INDIRECT(ADDRESS(2,COLUMN())),OFFSET($BN$2,0,0,ROW()-1,60),ROW()-1,FALSE))</f>
        <v/>
      </c>
      <c r="AT74" t="str">
        <f ca="1">IF(AND(ISNUMBER($AT$273),$B$185=1),$AT$273,HLOOKUP(INDIRECT(ADDRESS(2,COLUMN())),OFFSET($BN$2,0,0,ROW()-1,60),ROW()-1,FALSE))</f>
        <v/>
      </c>
      <c r="AU74" t="str">
        <f ca="1">IF(AND(ISNUMBER($AU$273),$B$185=1),$AU$273,HLOOKUP(INDIRECT(ADDRESS(2,COLUMN())),OFFSET($BN$2,0,0,ROW()-1,60),ROW()-1,FALSE))</f>
        <v/>
      </c>
      <c r="AV74" t="str">
        <f ca="1">IF(AND(ISNUMBER($AV$273),$B$185=1),$AV$273,HLOOKUP(INDIRECT(ADDRESS(2,COLUMN())),OFFSET($BN$2,0,0,ROW()-1,60),ROW()-1,FALSE))</f>
        <v/>
      </c>
      <c r="AW74" t="str">
        <f ca="1">IF(AND(ISNUMBER($AW$273),$B$185=1),$AW$273,HLOOKUP(INDIRECT(ADDRESS(2,COLUMN())),OFFSET($BN$2,0,0,ROW()-1,60),ROW()-1,FALSE))</f>
        <v/>
      </c>
      <c r="AX74">
        <f ca="1">IF(AND(ISNUMBER($AX$273),$B$185=1),$AX$273,HLOOKUP(INDIRECT(ADDRESS(2,COLUMN())),OFFSET($BN$2,0,0,ROW()-1,60),ROW()-1,FALSE))</f>
        <v>28500</v>
      </c>
      <c r="AY74" t="str">
        <f ca="1">IF(AND(ISNUMBER($AY$273),$B$185=1),$AY$273,HLOOKUP(INDIRECT(ADDRESS(2,COLUMN())),OFFSET($BN$2,0,0,ROW()-1,60),ROW()-1,FALSE))</f>
        <v/>
      </c>
      <c r="AZ74" t="str">
        <f ca="1">IF(AND(ISNUMBER($AZ$273),$B$185=1),$AZ$273,HLOOKUP(INDIRECT(ADDRESS(2,COLUMN())),OFFSET($BN$2,0,0,ROW()-1,60),ROW()-1,FALSE))</f>
        <v/>
      </c>
      <c r="BA74" t="str">
        <f ca="1">IF(AND(ISNUMBER($BA$273),$B$185=1),$BA$273,HLOOKUP(INDIRECT(ADDRESS(2,COLUMN())),OFFSET($BN$2,0,0,ROW()-1,60),ROW()-1,FALSE))</f>
        <v/>
      </c>
      <c r="BB74">
        <f ca="1">IF(AND(ISNUMBER($BB$273),$B$185=1),$BB$273,HLOOKUP(INDIRECT(ADDRESS(2,COLUMN())),OFFSET($BN$2,0,0,ROW()-1,60),ROW()-1,FALSE))</f>
        <v>26200</v>
      </c>
      <c r="BC74" t="str">
        <f ca="1">IF(AND(ISNUMBER($BC$273),$B$185=1),$BC$273,HLOOKUP(INDIRECT(ADDRESS(2,COLUMN())),OFFSET($BN$2,0,0,ROW()-1,60),ROW()-1,FALSE))</f>
        <v/>
      </c>
      <c r="BD74" t="str">
        <f ca="1">IF(AND(ISNUMBER($BD$273),$B$185=1),$BD$273,HLOOKUP(INDIRECT(ADDRESS(2,COLUMN())),OFFSET($BN$2,0,0,ROW()-1,60),ROW()-1,FALSE))</f>
        <v/>
      </c>
      <c r="BE74" t="str">
        <f ca="1">IF(AND(ISNUMBER($BE$273),$B$185=1),$BE$273,HLOOKUP(INDIRECT(ADDRESS(2,COLUMN())),OFFSET($BN$2,0,0,ROW()-1,60),ROW()-1,FALSE))</f>
        <v/>
      </c>
      <c r="BF74">
        <f ca="1">IF(AND(ISNUMBER($BF$273),$B$185=1),$BF$273,HLOOKUP(INDIRECT(ADDRESS(2,COLUMN())),OFFSET($BN$2,0,0,ROW()-1,60),ROW()-1,FALSE))</f>
        <v>41100</v>
      </c>
      <c r="BG74" t="str">
        <f ca="1">IF(AND(ISNUMBER($BG$273),$B$185=1),$BG$273,HLOOKUP(INDIRECT(ADDRESS(2,COLUMN())),OFFSET($BN$2,0,0,ROW()-1,60),ROW()-1,FALSE))</f>
        <v/>
      </c>
      <c r="BH74" t="str">
        <f ca="1">IF(AND(ISNUMBER($BH$273),$B$185=1),$BH$273,HLOOKUP(INDIRECT(ADDRESS(2,COLUMN())),OFFSET($BN$2,0,0,ROW()-1,60),ROW()-1,FALSE))</f>
        <v/>
      </c>
      <c r="BI74" t="str">
        <f ca="1">IF(AND(ISNUMBER($BI$273),$B$185=1),$BI$273,HLOOKUP(INDIRECT(ADDRESS(2,COLUMN())),OFFSET($BN$2,0,0,ROW()-1,60),ROW()-1,FALSE))</f>
        <v/>
      </c>
      <c r="BJ74">
        <f ca="1">IF(AND(ISNUMBER($BJ$273),$B$185=1),$BJ$273,HLOOKUP(INDIRECT(ADDRESS(2,COLUMN())),OFFSET($BN$2,0,0,ROW()-1,60),ROW()-1,FALSE))</f>
        <v>41700</v>
      </c>
      <c r="BK74" t="str">
        <f ca="1">IF(AND(ISNUMBER($BK$273),$B$185=1),$BK$273,HLOOKUP(INDIRECT(ADDRESS(2,COLUMN())),OFFSET($BN$2,0,0,ROW()-1,60),ROW()-1,FALSE))</f>
        <v/>
      </c>
      <c r="BL74" t="str">
        <f ca="1">IF(AND(ISNUMBER($BL$273),$B$185=1),$BL$273,HLOOKUP(INDIRECT(ADDRESS(2,COLUMN())),OFFSET($BN$2,0,0,ROW()-1,60),ROW()-1,FALSE))</f>
        <v/>
      </c>
      <c r="BM74" t="str">
        <f ca="1">IF(AND(ISNUMBER($BM$273),$B$185=1),$BM$273,HLOOKUP(INDIRECT(ADDRESS(2,COLUMN())),OFFSET($BN$2,0,0,ROW()-1,60),ROW()-1,FALSE))</f>
        <v/>
      </c>
      <c r="BN74" t="str">
        <f>""</f>
        <v/>
      </c>
      <c r="BO74" t="str">
        <f>""</f>
        <v/>
      </c>
      <c r="BP74" t="str">
        <f>""</f>
        <v/>
      </c>
      <c r="BQ74" t="str">
        <f>""</f>
        <v/>
      </c>
      <c r="BR74" t="str">
        <f>""</f>
        <v/>
      </c>
      <c r="BS74" t="str">
        <f>""</f>
        <v/>
      </c>
      <c r="BT74" t="str">
        <f>""</f>
        <v/>
      </c>
      <c r="BU74" t="str">
        <f>""</f>
        <v/>
      </c>
      <c r="BV74" t="str">
        <f>""</f>
        <v/>
      </c>
      <c r="BW74" t="str">
        <f>""</f>
        <v/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  <c r="CI74" t="str">
        <f>""</f>
        <v/>
      </c>
      <c r="CJ74" t="str">
        <f>""</f>
        <v/>
      </c>
      <c r="CK74" t="str">
        <f>""</f>
        <v/>
      </c>
      <c r="CL74" t="str">
        <f>""</f>
        <v/>
      </c>
      <c r="CM74" t="str">
        <f>""</f>
        <v/>
      </c>
      <c r="CN74" t="str">
        <f>""</f>
        <v/>
      </c>
      <c r="CO74" t="str">
        <f>""</f>
        <v/>
      </c>
      <c r="CP74" t="str">
        <f>""</f>
        <v/>
      </c>
      <c r="CQ74" t="str">
        <f>""</f>
        <v/>
      </c>
      <c r="CR74" t="str">
        <f>""</f>
        <v/>
      </c>
      <c r="CS74" t="str">
        <f>""</f>
        <v/>
      </c>
      <c r="CT74" t="str">
        <f>""</f>
        <v/>
      </c>
      <c r="CU74" t="str">
        <f>""</f>
        <v/>
      </c>
      <c r="CV74" t="str">
        <f>""</f>
        <v/>
      </c>
      <c r="CW74" t="str">
        <f>""</f>
        <v/>
      </c>
      <c r="CX74" t="str">
        <f>""</f>
        <v/>
      </c>
      <c r="CY74" t="str">
        <f>""</f>
        <v/>
      </c>
      <c r="CZ74" t="str">
        <f>""</f>
        <v/>
      </c>
      <c r="DA74" t="str">
        <f>""</f>
        <v/>
      </c>
      <c r="DB74" t="str">
        <f>""</f>
        <v/>
      </c>
      <c r="DC74" t="str">
        <f>""</f>
        <v/>
      </c>
      <c r="DD74" t="str">
        <f>""</f>
        <v/>
      </c>
      <c r="DE74" t="str">
        <f>""</f>
        <v/>
      </c>
      <c r="DF74">
        <f>28500</f>
        <v>28500</v>
      </c>
      <c r="DG74" t="str">
        <f>""</f>
        <v/>
      </c>
      <c r="DH74" t="str">
        <f>""</f>
        <v/>
      </c>
      <c r="DI74" t="str">
        <f>""</f>
        <v/>
      </c>
      <c r="DJ74">
        <f>26200</f>
        <v>26200</v>
      </c>
      <c r="DK74" t="str">
        <f>""</f>
        <v/>
      </c>
      <c r="DL74" t="str">
        <f>""</f>
        <v/>
      </c>
      <c r="DM74" t="str">
        <f>""</f>
        <v/>
      </c>
      <c r="DN74">
        <f>41100</f>
        <v>41100</v>
      </c>
      <c r="DO74" t="str">
        <f>""</f>
        <v/>
      </c>
      <c r="DP74" t="str">
        <f>""</f>
        <v/>
      </c>
      <c r="DQ74" t="str">
        <f>""</f>
        <v/>
      </c>
      <c r="DR74">
        <f>41700</f>
        <v>41700</v>
      </c>
      <c r="DS74" t="str">
        <f>""</f>
        <v/>
      </c>
      <c r="DT74" t="str">
        <f>""</f>
        <v/>
      </c>
      <c r="DU74" t="str">
        <f>""</f>
        <v/>
      </c>
    </row>
    <row r="75" spans="1:125">
      <c r="A75" t="str">
        <f>"    Signature Bank/New York NY"</f>
        <v xml:space="preserve">    Signature Bank/New York NY</v>
      </c>
      <c r="B75" t="str">
        <f>"SBNY US Equity"</f>
        <v>SBNY US Equity</v>
      </c>
      <c r="C75" t="str">
        <f t="shared" si="7"/>
        <v>BS962</v>
      </c>
      <c r="D75" t="str">
        <f t="shared" si="8"/>
        <v>BS_RSD_MTG_SRVC_PORTFOLIO</v>
      </c>
      <c r="E75" t="str">
        <f t="shared" si="9"/>
        <v>Dynamic</v>
      </c>
      <c r="F75" t="str">
        <f ca="1">IF(AND(ISNUMBER($F$274),$B$185=1),$F$274,HLOOKUP(INDIRECT(ADDRESS(2,COLUMN())),OFFSET($BN$2,0,0,ROW()-1,60),ROW()-1,FALSE))</f>
        <v/>
      </c>
      <c r="G75" t="str">
        <f ca="1">IF(AND(ISNUMBER($G$274),$B$185=1),$G$274,HLOOKUP(INDIRECT(ADDRESS(2,COLUMN())),OFFSET($BN$2,0,0,ROW()-1,60),ROW()-1,FALSE))</f>
        <v/>
      </c>
      <c r="H75" t="str">
        <f ca="1">IF(AND(ISNUMBER($H$274),$B$185=1),$H$274,HLOOKUP(INDIRECT(ADDRESS(2,COLUMN())),OFFSET($BN$2,0,0,ROW()-1,60),ROW()-1,FALSE))</f>
        <v/>
      </c>
      <c r="I75" t="str">
        <f ca="1">IF(AND(ISNUMBER($I$274),$B$185=1),$I$274,HLOOKUP(INDIRECT(ADDRESS(2,COLUMN())),OFFSET($BN$2,0,0,ROW()-1,60),ROW()-1,FALSE))</f>
        <v/>
      </c>
      <c r="J75" t="str">
        <f ca="1">IF(AND(ISNUMBER($J$274),$B$185=1),$J$274,HLOOKUP(INDIRECT(ADDRESS(2,COLUMN())),OFFSET($BN$2,0,0,ROW()-1,60),ROW()-1,FALSE))</f>
        <v/>
      </c>
      <c r="K75" t="str">
        <f ca="1">IF(AND(ISNUMBER($K$274),$B$185=1),$K$274,HLOOKUP(INDIRECT(ADDRESS(2,COLUMN())),OFFSET($BN$2,0,0,ROW()-1,60),ROW()-1,FALSE))</f>
        <v/>
      </c>
      <c r="L75" t="str">
        <f ca="1">IF(AND(ISNUMBER($L$274),$B$185=1),$L$274,HLOOKUP(INDIRECT(ADDRESS(2,COLUMN())),OFFSET($BN$2,0,0,ROW()-1,60),ROW()-1,FALSE))</f>
        <v/>
      </c>
      <c r="M75" t="str">
        <f ca="1">IF(AND(ISNUMBER($M$274),$B$185=1),$M$274,HLOOKUP(INDIRECT(ADDRESS(2,COLUMN())),OFFSET($BN$2,0,0,ROW()-1,60),ROW()-1,FALSE))</f>
        <v/>
      </c>
      <c r="N75" t="str">
        <f ca="1">IF(AND(ISNUMBER($N$274),$B$185=1),$N$274,HLOOKUP(INDIRECT(ADDRESS(2,COLUMN())),OFFSET($BN$2,0,0,ROW()-1,60),ROW()-1,FALSE))</f>
        <v/>
      </c>
      <c r="O75" t="str">
        <f ca="1">IF(AND(ISNUMBER($O$274),$B$185=1),$O$274,HLOOKUP(INDIRECT(ADDRESS(2,COLUMN())),OFFSET($BN$2,0,0,ROW()-1,60),ROW()-1,FALSE))</f>
        <v/>
      </c>
      <c r="P75" t="str">
        <f ca="1">IF(AND(ISNUMBER($P$274),$B$185=1),$P$274,HLOOKUP(INDIRECT(ADDRESS(2,COLUMN())),OFFSET($BN$2,0,0,ROW()-1,60),ROW()-1,FALSE))</f>
        <v/>
      </c>
      <c r="Q75" t="str">
        <f ca="1">IF(AND(ISNUMBER($Q$274),$B$185=1),$Q$274,HLOOKUP(INDIRECT(ADDRESS(2,COLUMN())),OFFSET($BN$2,0,0,ROW()-1,60),ROW()-1,FALSE))</f>
        <v/>
      </c>
      <c r="R75" t="str">
        <f ca="1">IF(AND(ISNUMBER($R$274),$B$185=1),$R$274,HLOOKUP(INDIRECT(ADDRESS(2,COLUMN())),OFFSET($BN$2,0,0,ROW()-1,60),ROW()-1,FALSE))</f>
        <v/>
      </c>
      <c r="S75" t="str">
        <f ca="1">IF(AND(ISNUMBER($S$274),$B$185=1),$S$274,HLOOKUP(INDIRECT(ADDRESS(2,COLUMN())),OFFSET($BN$2,0,0,ROW()-1,60),ROW()-1,FALSE))</f>
        <v/>
      </c>
      <c r="T75" t="str">
        <f ca="1">IF(AND(ISNUMBER($T$274),$B$185=1),$T$274,HLOOKUP(INDIRECT(ADDRESS(2,COLUMN())),OFFSET($BN$2,0,0,ROW()-1,60),ROW()-1,FALSE))</f>
        <v/>
      </c>
      <c r="U75" t="str">
        <f ca="1">IF(AND(ISNUMBER($U$274),$B$185=1),$U$274,HLOOKUP(INDIRECT(ADDRESS(2,COLUMN())),OFFSET($BN$2,0,0,ROW()-1,60),ROW()-1,FALSE))</f>
        <v/>
      </c>
      <c r="V75" t="str">
        <f ca="1">IF(AND(ISNUMBER($V$274),$B$185=1),$V$274,HLOOKUP(INDIRECT(ADDRESS(2,COLUMN())),OFFSET($BN$2,0,0,ROW()-1,60),ROW()-1,FALSE))</f>
        <v/>
      </c>
      <c r="W75" t="str">
        <f ca="1">IF(AND(ISNUMBER($W$274),$B$185=1),$W$274,HLOOKUP(INDIRECT(ADDRESS(2,COLUMN())),OFFSET($BN$2,0,0,ROW()-1,60),ROW()-1,FALSE))</f>
        <v/>
      </c>
      <c r="X75" t="str">
        <f ca="1">IF(AND(ISNUMBER($X$274),$B$185=1),$X$274,HLOOKUP(INDIRECT(ADDRESS(2,COLUMN())),OFFSET($BN$2,0,0,ROW()-1,60),ROW()-1,FALSE))</f>
        <v/>
      </c>
      <c r="Y75" t="str">
        <f ca="1">IF(AND(ISNUMBER($Y$274),$B$185=1),$Y$274,HLOOKUP(INDIRECT(ADDRESS(2,COLUMN())),OFFSET($BN$2,0,0,ROW()-1,60),ROW()-1,FALSE))</f>
        <v/>
      </c>
      <c r="Z75" t="str">
        <f ca="1">IF(AND(ISNUMBER($Z$274),$B$185=1),$Z$274,HLOOKUP(INDIRECT(ADDRESS(2,COLUMN())),OFFSET($BN$2,0,0,ROW()-1,60),ROW()-1,FALSE))</f>
        <v/>
      </c>
      <c r="AA75" t="str">
        <f ca="1">IF(AND(ISNUMBER($AA$274),$B$185=1),$AA$274,HLOOKUP(INDIRECT(ADDRESS(2,COLUMN())),OFFSET($BN$2,0,0,ROW()-1,60),ROW()-1,FALSE))</f>
        <v/>
      </c>
      <c r="AB75" t="str">
        <f ca="1">IF(AND(ISNUMBER($AB$274),$B$185=1),$AB$274,HLOOKUP(INDIRECT(ADDRESS(2,COLUMN())),OFFSET($BN$2,0,0,ROW()-1,60),ROW()-1,FALSE))</f>
        <v/>
      </c>
      <c r="AC75" t="str">
        <f ca="1">IF(AND(ISNUMBER($AC$274),$B$185=1),$AC$274,HLOOKUP(INDIRECT(ADDRESS(2,COLUMN())),OFFSET($BN$2,0,0,ROW()-1,60),ROW()-1,FALSE))</f>
        <v/>
      </c>
      <c r="AD75" t="str">
        <f ca="1">IF(AND(ISNUMBER($AD$274),$B$185=1),$AD$274,HLOOKUP(INDIRECT(ADDRESS(2,COLUMN())),OFFSET($BN$2,0,0,ROW()-1,60),ROW()-1,FALSE))</f>
        <v/>
      </c>
      <c r="AE75" t="str">
        <f ca="1">IF(AND(ISNUMBER($AE$274),$B$185=1),$AE$274,HLOOKUP(INDIRECT(ADDRESS(2,COLUMN())),OFFSET($BN$2,0,0,ROW()-1,60),ROW()-1,FALSE))</f>
        <v/>
      </c>
      <c r="AF75" t="str">
        <f ca="1">IF(AND(ISNUMBER($AF$274),$B$185=1),$AF$274,HLOOKUP(INDIRECT(ADDRESS(2,COLUMN())),OFFSET($BN$2,0,0,ROW()-1,60),ROW()-1,FALSE))</f>
        <v/>
      </c>
      <c r="AG75" t="str">
        <f ca="1">IF(AND(ISNUMBER($AG$274),$B$185=1),$AG$274,HLOOKUP(INDIRECT(ADDRESS(2,COLUMN())),OFFSET($BN$2,0,0,ROW()-1,60),ROW()-1,FALSE))</f>
        <v/>
      </c>
      <c r="AH75" t="str">
        <f ca="1">IF(AND(ISNUMBER($AH$274),$B$185=1),$AH$274,HLOOKUP(INDIRECT(ADDRESS(2,COLUMN())),OFFSET($BN$2,0,0,ROW()-1,60),ROW()-1,FALSE))</f>
        <v/>
      </c>
      <c r="AI75" t="str">
        <f ca="1">IF(AND(ISNUMBER($AI$274),$B$185=1),$AI$274,HLOOKUP(INDIRECT(ADDRESS(2,COLUMN())),OFFSET($BN$2,0,0,ROW()-1,60),ROW()-1,FALSE))</f>
        <v/>
      </c>
      <c r="AJ75" t="str">
        <f ca="1">IF(AND(ISNUMBER($AJ$274),$B$185=1),$AJ$274,HLOOKUP(INDIRECT(ADDRESS(2,COLUMN())),OFFSET($BN$2,0,0,ROW()-1,60),ROW()-1,FALSE))</f>
        <v/>
      </c>
      <c r="AK75" t="str">
        <f ca="1">IF(AND(ISNUMBER($AK$274),$B$185=1),$AK$274,HLOOKUP(INDIRECT(ADDRESS(2,COLUMN())),OFFSET($BN$2,0,0,ROW()-1,60),ROW()-1,FALSE))</f>
        <v/>
      </c>
      <c r="AL75" t="str">
        <f ca="1">IF(AND(ISNUMBER($AL$274),$B$185=1),$AL$274,HLOOKUP(INDIRECT(ADDRESS(2,COLUMN())),OFFSET($BN$2,0,0,ROW()-1,60),ROW()-1,FALSE))</f>
        <v/>
      </c>
      <c r="AM75" t="str">
        <f ca="1">IF(AND(ISNUMBER($AM$274),$B$185=1),$AM$274,HLOOKUP(INDIRECT(ADDRESS(2,COLUMN())),OFFSET($BN$2,0,0,ROW()-1,60),ROW()-1,FALSE))</f>
        <v/>
      </c>
      <c r="AN75" t="str">
        <f ca="1">IF(AND(ISNUMBER($AN$274),$B$185=1),$AN$274,HLOOKUP(INDIRECT(ADDRESS(2,COLUMN())),OFFSET($BN$2,0,0,ROW()-1,60),ROW()-1,FALSE))</f>
        <v/>
      </c>
      <c r="AO75" t="str">
        <f ca="1">IF(AND(ISNUMBER($AO$274),$B$185=1),$AO$274,HLOOKUP(INDIRECT(ADDRESS(2,COLUMN())),OFFSET($BN$2,0,0,ROW()-1,60),ROW()-1,FALSE))</f>
        <v/>
      </c>
      <c r="AP75" t="str">
        <f ca="1">IF(AND(ISNUMBER($AP$274),$B$185=1),$AP$274,HLOOKUP(INDIRECT(ADDRESS(2,COLUMN())),OFFSET($BN$2,0,0,ROW()-1,60),ROW()-1,FALSE))</f>
        <v/>
      </c>
      <c r="AQ75" t="str">
        <f ca="1">IF(AND(ISNUMBER($AQ$274),$B$185=1),$AQ$274,HLOOKUP(INDIRECT(ADDRESS(2,COLUMN())),OFFSET($BN$2,0,0,ROW()-1,60),ROW()-1,FALSE))</f>
        <v/>
      </c>
      <c r="AR75" t="str">
        <f ca="1">IF(AND(ISNUMBER($AR$274),$B$185=1),$AR$274,HLOOKUP(INDIRECT(ADDRESS(2,COLUMN())),OFFSET($BN$2,0,0,ROW()-1,60),ROW()-1,FALSE))</f>
        <v/>
      </c>
      <c r="AS75" t="str">
        <f ca="1">IF(AND(ISNUMBER($AS$274),$B$185=1),$AS$274,HLOOKUP(INDIRECT(ADDRESS(2,COLUMN())),OFFSET($BN$2,0,0,ROW()-1,60),ROW()-1,FALSE))</f>
        <v/>
      </c>
      <c r="AT75" t="str">
        <f ca="1">IF(AND(ISNUMBER($AT$274),$B$185=1),$AT$274,HLOOKUP(INDIRECT(ADDRESS(2,COLUMN())),OFFSET($BN$2,0,0,ROW()-1,60),ROW()-1,FALSE))</f>
        <v/>
      </c>
      <c r="AU75" t="str">
        <f ca="1">IF(AND(ISNUMBER($AU$274),$B$185=1),$AU$274,HLOOKUP(INDIRECT(ADDRESS(2,COLUMN())),OFFSET($BN$2,0,0,ROW()-1,60),ROW()-1,FALSE))</f>
        <v/>
      </c>
      <c r="AV75" t="str">
        <f ca="1">IF(AND(ISNUMBER($AV$274),$B$185=1),$AV$274,HLOOKUP(INDIRECT(ADDRESS(2,COLUMN())),OFFSET($BN$2,0,0,ROW()-1,60),ROW()-1,FALSE))</f>
        <v/>
      </c>
      <c r="AW75" t="str">
        <f ca="1">IF(AND(ISNUMBER($AW$274),$B$185=1),$AW$274,HLOOKUP(INDIRECT(ADDRESS(2,COLUMN())),OFFSET($BN$2,0,0,ROW()-1,60),ROW()-1,FALSE))</f>
        <v/>
      </c>
      <c r="AX75" t="str">
        <f ca="1">IF(AND(ISNUMBER($AX$274),$B$185=1),$AX$274,HLOOKUP(INDIRECT(ADDRESS(2,COLUMN())),OFFSET($BN$2,0,0,ROW()-1,60),ROW()-1,FALSE))</f>
        <v/>
      </c>
      <c r="AY75" t="str">
        <f ca="1">IF(AND(ISNUMBER($AY$274),$B$185=1),$AY$274,HLOOKUP(INDIRECT(ADDRESS(2,COLUMN())),OFFSET($BN$2,0,0,ROW()-1,60),ROW()-1,FALSE))</f>
        <v/>
      </c>
      <c r="AZ75" t="str">
        <f ca="1">IF(AND(ISNUMBER($AZ$274),$B$185=1),$AZ$274,HLOOKUP(INDIRECT(ADDRESS(2,COLUMN())),OFFSET($BN$2,0,0,ROW()-1,60),ROW()-1,FALSE))</f>
        <v/>
      </c>
      <c r="BA75" t="str">
        <f ca="1">IF(AND(ISNUMBER($BA$274),$B$185=1),$BA$274,HLOOKUP(INDIRECT(ADDRESS(2,COLUMN())),OFFSET($BN$2,0,0,ROW()-1,60),ROW()-1,FALSE))</f>
        <v/>
      </c>
      <c r="BB75" t="str">
        <f ca="1">IF(AND(ISNUMBER($BB$274),$B$185=1),$BB$274,HLOOKUP(INDIRECT(ADDRESS(2,COLUMN())),OFFSET($BN$2,0,0,ROW()-1,60),ROW()-1,FALSE))</f>
        <v/>
      </c>
      <c r="BC75" t="str">
        <f ca="1">IF(AND(ISNUMBER($BC$274),$B$185=1),$BC$274,HLOOKUP(INDIRECT(ADDRESS(2,COLUMN())),OFFSET($BN$2,0,0,ROW()-1,60),ROW()-1,FALSE))</f>
        <v/>
      </c>
      <c r="BD75" t="str">
        <f ca="1">IF(AND(ISNUMBER($BD$274),$B$185=1),$BD$274,HLOOKUP(INDIRECT(ADDRESS(2,COLUMN())),OFFSET($BN$2,0,0,ROW()-1,60),ROW()-1,FALSE))</f>
        <v/>
      </c>
      <c r="BE75" t="str">
        <f ca="1">IF(AND(ISNUMBER($BE$274),$B$185=1),$BE$274,HLOOKUP(INDIRECT(ADDRESS(2,COLUMN())),OFFSET($BN$2,0,0,ROW()-1,60),ROW()-1,FALSE))</f>
        <v/>
      </c>
      <c r="BF75" t="str">
        <f ca="1">IF(AND(ISNUMBER($BF$274),$B$185=1),$BF$274,HLOOKUP(INDIRECT(ADDRESS(2,COLUMN())),OFFSET($BN$2,0,0,ROW()-1,60),ROW()-1,FALSE))</f>
        <v/>
      </c>
      <c r="BG75" t="str">
        <f ca="1">IF(AND(ISNUMBER($BG$274),$B$185=1),$BG$274,HLOOKUP(INDIRECT(ADDRESS(2,COLUMN())),OFFSET($BN$2,0,0,ROW()-1,60),ROW()-1,FALSE))</f>
        <v/>
      </c>
      <c r="BH75" t="str">
        <f ca="1">IF(AND(ISNUMBER($BH$274),$B$185=1),$BH$274,HLOOKUP(INDIRECT(ADDRESS(2,COLUMN())),OFFSET($BN$2,0,0,ROW()-1,60),ROW()-1,FALSE))</f>
        <v/>
      </c>
      <c r="BI75" t="str">
        <f ca="1">IF(AND(ISNUMBER($BI$274),$B$185=1),$BI$274,HLOOKUP(INDIRECT(ADDRESS(2,COLUMN())),OFFSET($BN$2,0,0,ROW()-1,60),ROW()-1,FALSE))</f>
        <v/>
      </c>
      <c r="BJ75" t="str">
        <f ca="1">IF(AND(ISNUMBER($BJ$274),$B$185=1),$BJ$274,HLOOKUP(INDIRECT(ADDRESS(2,COLUMN())),OFFSET($BN$2,0,0,ROW()-1,60),ROW()-1,FALSE))</f>
        <v/>
      </c>
      <c r="BK75" t="str">
        <f ca="1">IF(AND(ISNUMBER($BK$274),$B$185=1),$BK$274,HLOOKUP(INDIRECT(ADDRESS(2,COLUMN())),OFFSET($BN$2,0,0,ROW()-1,60),ROW()-1,FALSE))</f>
        <v/>
      </c>
      <c r="BL75" t="str">
        <f ca="1">IF(AND(ISNUMBER($BL$274),$B$185=1),$BL$274,HLOOKUP(INDIRECT(ADDRESS(2,COLUMN())),OFFSET($BN$2,0,0,ROW()-1,60),ROW()-1,FALSE))</f>
        <v/>
      </c>
      <c r="BM75" t="str">
        <f ca="1">IF(AND(ISNUMBER($BM$274),$B$185=1),$BM$274,HLOOKUP(INDIRECT(ADDRESS(2,COLUMN())),OFFSET($BN$2,0,0,ROW()-1,60),ROW()-1,FALSE))</f>
        <v/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  <c r="BT75" t="str">
        <f>""</f>
        <v/>
      </c>
      <c r="BU75" t="str">
        <f>""</f>
        <v/>
      </c>
      <c r="BV75" t="str">
        <f>""</f>
        <v/>
      </c>
      <c r="BW75" t="str">
        <f>""</f>
        <v/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  <c r="CI75" t="str">
        <f>""</f>
        <v/>
      </c>
      <c r="CJ75" t="str">
        <f>""</f>
        <v/>
      </c>
      <c r="CK75" t="str">
        <f>""</f>
        <v/>
      </c>
      <c r="CL75" t="str">
        <f>""</f>
        <v/>
      </c>
      <c r="CM75" t="str">
        <f>""</f>
        <v/>
      </c>
      <c r="CN75" t="str">
        <f>""</f>
        <v/>
      </c>
      <c r="CO75" t="str">
        <f>""</f>
        <v/>
      </c>
      <c r="CP75" t="str">
        <f>""</f>
        <v/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 t="str">
        <f>""</f>
        <v/>
      </c>
      <c r="DC75" t="str">
        <f>""</f>
        <v/>
      </c>
      <c r="DD75" t="str">
        <f>""</f>
        <v/>
      </c>
      <c r="DE75" t="str">
        <f>""</f>
        <v/>
      </c>
      <c r="DF75" t="str">
        <f>""</f>
        <v/>
      </c>
      <c r="DG75" t="str">
        <f>""</f>
        <v/>
      </c>
      <c r="DH75" t="str">
        <f>""</f>
        <v/>
      </c>
      <c r="DI75" t="str">
        <f>""</f>
        <v/>
      </c>
      <c r="DJ75" t="str">
        <f>""</f>
        <v/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>
      <c r="A76" t="str">
        <f>"    SVB Financial Group"</f>
        <v xml:space="preserve">    SVB Financial Group</v>
      </c>
      <c r="B76" t="str">
        <f>"SIVBQ US Equity"</f>
        <v>SIVBQ US Equity</v>
      </c>
      <c r="C76" t="str">
        <f t="shared" si="7"/>
        <v>BS962</v>
      </c>
      <c r="D76" t="str">
        <f t="shared" si="8"/>
        <v>BS_RSD_MTG_SRVC_PORTFOLIO</v>
      </c>
      <c r="E76" t="str">
        <f t="shared" si="9"/>
        <v>Dynamic</v>
      </c>
      <c r="F76" t="str">
        <f ca="1">IF(AND(ISNUMBER($F$275),$B$185=1),$F$275,HLOOKUP(INDIRECT(ADDRESS(2,COLUMN())),OFFSET($BN$2,0,0,ROW()-1,60),ROW()-1,FALSE))</f>
        <v/>
      </c>
      <c r="G76" t="str">
        <f ca="1">IF(AND(ISNUMBER($G$275),$B$185=1),$G$275,HLOOKUP(INDIRECT(ADDRESS(2,COLUMN())),OFFSET($BN$2,0,0,ROW()-1,60),ROW()-1,FALSE))</f>
        <v/>
      </c>
      <c r="H76" t="str">
        <f ca="1">IF(AND(ISNUMBER($H$275),$B$185=1),$H$275,HLOOKUP(INDIRECT(ADDRESS(2,COLUMN())),OFFSET($BN$2,0,0,ROW()-1,60),ROW()-1,FALSE))</f>
        <v/>
      </c>
      <c r="I76" t="str">
        <f ca="1">IF(AND(ISNUMBER($I$275),$B$185=1),$I$275,HLOOKUP(INDIRECT(ADDRESS(2,COLUMN())),OFFSET($BN$2,0,0,ROW()-1,60),ROW()-1,FALSE))</f>
        <v/>
      </c>
      <c r="J76" t="str">
        <f ca="1">IF(AND(ISNUMBER($J$275),$B$185=1),$J$275,HLOOKUP(INDIRECT(ADDRESS(2,COLUMN())),OFFSET($BN$2,0,0,ROW()-1,60),ROW()-1,FALSE))</f>
        <v/>
      </c>
      <c r="K76" t="str">
        <f ca="1">IF(AND(ISNUMBER($K$275),$B$185=1),$K$275,HLOOKUP(INDIRECT(ADDRESS(2,COLUMN())),OFFSET($BN$2,0,0,ROW()-1,60),ROW()-1,FALSE))</f>
        <v/>
      </c>
      <c r="L76" t="str">
        <f ca="1">IF(AND(ISNUMBER($L$275),$B$185=1),$L$275,HLOOKUP(INDIRECT(ADDRESS(2,COLUMN())),OFFSET($BN$2,0,0,ROW()-1,60),ROW()-1,FALSE))</f>
        <v/>
      </c>
      <c r="M76" t="str">
        <f ca="1">IF(AND(ISNUMBER($M$275),$B$185=1),$M$275,HLOOKUP(INDIRECT(ADDRESS(2,COLUMN())),OFFSET($BN$2,0,0,ROW()-1,60),ROW()-1,FALSE))</f>
        <v/>
      </c>
      <c r="N76" t="str">
        <f ca="1">IF(AND(ISNUMBER($N$275),$B$185=1),$N$275,HLOOKUP(INDIRECT(ADDRESS(2,COLUMN())),OFFSET($BN$2,0,0,ROW()-1,60),ROW()-1,FALSE))</f>
        <v/>
      </c>
      <c r="O76" t="str">
        <f ca="1">IF(AND(ISNUMBER($O$275),$B$185=1),$O$275,HLOOKUP(INDIRECT(ADDRESS(2,COLUMN())),OFFSET($BN$2,0,0,ROW()-1,60),ROW()-1,FALSE))</f>
        <v/>
      </c>
      <c r="P76" t="str">
        <f ca="1">IF(AND(ISNUMBER($P$275),$B$185=1),$P$275,HLOOKUP(INDIRECT(ADDRESS(2,COLUMN())),OFFSET($BN$2,0,0,ROW()-1,60),ROW()-1,FALSE))</f>
        <v/>
      </c>
      <c r="Q76" t="str">
        <f ca="1">IF(AND(ISNUMBER($Q$275),$B$185=1),$Q$275,HLOOKUP(INDIRECT(ADDRESS(2,COLUMN())),OFFSET($BN$2,0,0,ROW()-1,60),ROW()-1,FALSE))</f>
        <v/>
      </c>
      <c r="R76" t="str">
        <f ca="1">IF(AND(ISNUMBER($R$275),$B$185=1),$R$275,HLOOKUP(INDIRECT(ADDRESS(2,COLUMN())),OFFSET($BN$2,0,0,ROW()-1,60),ROW()-1,FALSE))</f>
        <v/>
      </c>
      <c r="S76" t="str">
        <f ca="1">IF(AND(ISNUMBER($S$275),$B$185=1),$S$275,HLOOKUP(INDIRECT(ADDRESS(2,COLUMN())),OFFSET($BN$2,0,0,ROW()-1,60),ROW()-1,FALSE))</f>
        <v/>
      </c>
      <c r="T76" t="str">
        <f ca="1">IF(AND(ISNUMBER($T$275),$B$185=1),$T$275,HLOOKUP(INDIRECT(ADDRESS(2,COLUMN())),OFFSET($BN$2,0,0,ROW()-1,60),ROW()-1,FALSE))</f>
        <v/>
      </c>
      <c r="U76" t="str">
        <f ca="1">IF(AND(ISNUMBER($U$275),$B$185=1),$U$275,HLOOKUP(INDIRECT(ADDRESS(2,COLUMN())),OFFSET($BN$2,0,0,ROW()-1,60),ROW()-1,FALSE))</f>
        <v/>
      </c>
      <c r="V76" t="str">
        <f ca="1">IF(AND(ISNUMBER($V$275),$B$185=1),$V$275,HLOOKUP(INDIRECT(ADDRESS(2,COLUMN())),OFFSET($BN$2,0,0,ROW()-1,60),ROW()-1,FALSE))</f>
        <v/>
      </c>
      <c r="W76" t="str">
        <f ca="1">IF(AND(ISNUMBER($W$275),$B$185=1),$W$275,HLOOKUP(INDIRECT(ADDRESS(2,COLUMN())),OFFSET($BN$2,0,0,ROW()-1,60),ROW()-1,FALSE))</f>
        <v/>
      </c>
      <c r="X76" t="str">
        <f ca="1">IF(AND(ISNUMBER($X$275),$B$185=1),$X$275,HLOOKUP(INDIRECT(ADDRESS(2,COLUMN())),OFFSET($BN$2,0,0,ROW()-1,60),ROW()-1,FALSE))</f>
        <v/>
      </c>
      <c r="Y76" t="str">
        <f ca="1">IF(AND(ISNUMBER($Y$275),$B$185=1),$Y$275,HLOOKUP(INDIRECT(ADDRESS(2,COLUMN())),OFFSET($BN$2,0,0,ROW()-1,60),ROW()-1,FALSE))</f>
        <v/>
      </c>
      <c r="Z76" t="str">
        <f ca="1">IF(AND(ISNUMBER($Z$275),$B$185=1),$Z$275,HLOOKUP(INDIRECT(ADDRESS(2,COLUMN())),OFFSET($BN$2,0,0,ROW()-1,60),ROW()-1,FALSE))</f>
        <v/>
      </c>
      <c r="AA76" t="str">
        <f ca="1">IF(AND(ISNUMBER($AA$275),$B$185=1),$AA$275,HLOOKUP(INDIRECT(ADDRESS(2,COLUMN())),OFFSET($BN$2,0,0,ROW()-1,60),ROW()-1,FALSE))</f>
        <v/>
      </c>
      <c r="AB76" t="str">
        <f ca="1">IF(AND(ISNUMBER($AB$275),$B$185=1),$AB$275,HLOOKUP(INDIRECT(ADDRESS(2,COLUMN())),OFFSET($BN$2,0,0,ROW()-1,60),ROW()-1,FALSE))</f>
        <v/>
      </c>
      <c r="AC76" t="str">
        <f ca="1">IF(AND(ISNUMBER($AC$275),$B$185=1),$AC$275,HLOOKUP(INDIRECT(ADDRESS(2,COLUMN())),OFFSET($BN$2,0,0,ROW()-1,60),ROW()-1,FALSE))</f>
        <v/>
      </c>
      <c r="AD76" t="str">
        <f ca="1">IF(AND(ISNUMBER($AD$275),$B$185=1),$AD$275,HLOOKUP(INDIRECT(ADDRESS(2,COLUMN())),OFFSET($BN$2,0,0,ROW()-1,60),ROW()-1,FALSE))</f>
        <v/>
      </c>
      <c r="AE76" t="str">
        <f ca="1">IF(AND(ISNUMBER($AE$275),$B$185=1),$AE$275,HLOOKUP(INDIRECT(ADDRESS(2,COLUMN())),OFFSET($BN$2,0,0,ROW()-1,60),ROW()-1,FALSE))</f>
        <v/>
      </c>
      <c r="AF76" t="str">
        <f ca="1">IF(AND(ISNUMBER($AF$275),$B$185=1),$AF$275,HLOOKUP(INDIRECT(ADDRESS(2,COLUMN())),OFFSET($BN$2,0,0,ROW()-1,60),ROW()-1,FALSE))</f>
        <v/>
      </c>
      <c r="AG76" t="str">
        <f ca="1">IF(AND(ISNUMBER($AG$275),$B$185=1),$AG$275,HLOOKUP(INDIRECT(ADDRESS(2,COLUMN())),OFFSET($BN$2,0,0,ROW()-1,60),ROW()-1,FALSE))</f>
        <v/>
      </c>
      <c r="AH76" t="str">
        <f ca="1">IF(AND(ISNUMBER($AH$275),$B$185=1),$AH$275,HLOOKUP(INDIRECT(ADDRESS(2,COLUMN())),OFFSET($BN$2,0,0,ROW()-1,60),ROW()-1,FALSE))</f>
        <v/>
      </c>
      <c r="AI76" t="str">
        <f ca="1">IF(AND(ISNUMBER($AI$275),$B$185=1),$AI$275,HLOOKUP(INDIRECT(ADDRESS(2,COLUMN())),OFFSET($BN$2,0,0,ROW()-1,60),ROW()-1,FALSE))</f>
        <v/>
      </c>
      <c r="AJ76" t="str">
        <f ca="1">IF(AND(ISNUMBER($AJ$275),$B$185=1),$AJ$275,HLOOKUP(INDIRECT(ADDRESS(2,COLUMN())),OFFSET($BN$2,0,0,ROW()-1,60),ROW()-1,FALSE))</f>
        <v/>
      </c>
      <c r="AK76" t="str">
        <f ca="1">IF(AND(ISNUMBER($AK$275),$B$185=1),$AK$275,HLOOKUP(INDIRECT(ADDRESS(2,COLUMN())),OFFSET($BN$2,0,0,ROW()-1,60),ROW()-1,FALSE))</f>
        <v/>
      </c>
      <c r="AL76" t="str">
        <f ca="1">IF(AND(ISNUMBER($AL$275),$B$185=1),$AL$275,HLOOKUP(INDIRECT(ADDRESS(2,COLUMN())),OFFSET($BN$2,0,0,ROW()-1,60),ROW()-1,FALSE))</f>
        <v/>
      </c>
      <c r="AM76" t="str">
        <f ca="1">IF(AND(ISNUMBER($AM$275),$B$185=1),$AM$275,HLOOKUP(INDIRECT(ADDRESS(2,COLUMN())),OFFSET($BN$2,0,0,ROW()-1,60),ROW()-1,FALSE))</f>
        <v/>
      </c>
      <c r="AN76" t="str">
        <f ca="1">IF(AND(ISNUMBER($AN$275),$B$185=1),$AN$275,HLOOKUP(INDIRECT(ADDRESS(2,COLUMN())),OFFSET($BN$2,0,0,ROW()-1,60),ROW()-1,FALSE))</f>
        <v/>
      </c>
      <c r="AO76" t="str">
        <f ca="1">IF(AND(ISNUMBER($AO$275),$B$185=1),$AO$275,HLOOKUP(INDIRECT(ADDRESS(2,COLUMN())),OFFSET($BN$2,0,0,ROW()-1,60),ROW()-1,FALSE))</f>
        <v/>
      </c>
      <c r="AP76" t="str">
        <f ca="1">IF(AND(ISNUMBER($AP$275),$B$185=1),$AP$275,HLOOKUP(INDIRECT(ADDRESS(2,COLUMN())),OFFSET($BN$2,0,0,ROW()-1,60),ROW()-1,FALSE))</f>
        <v/>
      </c>
      <c r="AQ76" t="str">
        <f ca="1">IF(AND(ISNUMBER($AQ$275),$B$185=1),$AQ$275,HLOOKUP(INDIRECT(ADDRESS(2,COLUMN())),OFFSET($BN$2,0,0,ROW()-1,60),ROW()-1,FALSE))</f>
        <v/>
      </c>
      <c r="AR76" t="str">
        <f ca="1">IF(AND(ISNUMBER($AR$275),$B$185=1),$AR$275,HLOOKUP(INDIRECT(ADDRESS(2,COLUMN())),OFFSET($BN$2,0,0,ROW()-1,60),ROW()-1,FALSE))</f>
        <v/>
      </c>
      <c r="AS76" t="str">
        <f ca="1">IF(AND(ISNUMBER($AS$275),$B$185=1),$AS$275,HLOOKUP(INDIRECT(ADDRESS(2,COLUMN())),OFFSET($BN$2,0,0,ROW()-1,60),ROW()-1,FALSE))</f>
        <v/>
      </c>
      <c r="AT76" t="str">
        <f ca="1">IF(AND(ISNUMBER($AT$275),$B$185=1),$AT$275,HLOOKUP(INDIRECT(ADDRESS(2,COLUMN())),OFFSET($BN$2,0,0,ROW()-1,60),ROW()-1,FALSE))</f>
        <v/>
      </c>
      <c r="AU76" t="str">
        <f ca="1">IF(AND(ISNUMBER($AU$275),$B$185=1),$AU$275,HLOOKUP(INDIRECT(ADDRESS(2,COLUMN())),OFFSET($BN$2,0,0,ROW()-1,60),ROW()-1,FALSE))</f>
        <v/>
      </c>
      <c r="AV76" t="str">
        <f ca="1">IF(AND(ISNUMBER($AV$275),$B$185=1),$AV$275,HLOOKUP(INDIRECT(ADDRESS(2,COLUMN())),OFFSET($BN$2,0,0,ROW()-1,60),ROW()-1,FALSE))</f>
        <v/>
      </c>
      <c r="AW76" t="str">
        <f ca="1">IF(AND(ISNUMBER($AW$275),$B$185=1),$AW$275,HLOOKUP(INDIRECT(ADDRESS(2,COLUMN())),OFFSET($BN$2,0,0,ROW()-1,60),ROW()-1,FALSE))</f>
        <v/>
      </c>
      <c r="AX76" t="str">
        <f ca="1">IF(AND(ISNUMBER($AX$275),$B$185=1),$AX$275,HLOOKUP(INDIRECT(ADDRESS(2,COLUMN())),OFFSET($BN$2,0,0,ROW()-1,60),ROW()-1,FALSE))</f>
        <v/>
      </c>
      <c r="AY76" t="str">
        <f ca="1">IF(AND(ISNUMBER($AY$275),$B$185=1),$AY$275,HLOOKUP(INDIRECT(ADDRESS(2,COLUMN())),OFFSET($BN$2,0,0,ROW()-1,60),ROW()-1,FALSE))</f>
        <v/>
      </c>
      <c r="AZ76" t="str">
        <f ca="1">IF(AND(ISNUMBER($AZ$275),$B$185=1),$AZ$275,HLOOKUP(INDIRECT(ADDRESS(2,COLUMN())),OFFSET($BN$2,0,0,ROW()-1,60),ROW()-1,FALSE))</f>
        <v/>
      </c>
      <c r="BA76" t="str">
        <f ca="1">IF(AND(ISNUMBER($BA$275),$B$185=1),$BA$275,HLOOKUP(INDIRECT(ADDRESS(2,COLUMN())),OFFSET($BN$2,0,0,ROW()-1,60),ROW()-1,FALSE))</f>
        <v/>
      </c>
      <c r="BB76" t="str">
        <f ca="1">IF(AND(ISNUMBER($BB$275),$B$185=1),$BB$275,HLOOKUP(INDIRECT(ADDRESS(2,COLUMN())),OFFSET($BN$2,0,0,ROW()-1,60),ROW()-1,FALSE))</f>
        <v/>
      </c>
      <c r="BC76" t="str">
        <f ca="1">IF(AND(ISNUMBER($BC$275),$B$185=1),$BC$275,HLOOKUP(INDIRECT(ADDRESS(2,COLUMN())),OFFSET($BN$2,0,0,ROW()-1,60),ROW()-1,FALSE))</f>
        <v/>
      </c>
      <c r="BD76" t="str">
        <f ca="1">IF(AND(ISNUMBER($BD$275),$B$185=1),$BD$275,HLOOKUP(INDIRECT(ADDRESS(2,COLUMN())),OFFSET($BN$2,0,0,ROW()-1,60),ROW()-1,FALSE))</f>
        <v/>
      </c>
      <c r="BE76" t="str">
        <f ca="1">IF(AND(ISNUMBER($BE$275),$B$185=1),$BE$275,HLOOKUP(INDIRECT(ADDRESS(2,COLUMN())),OFFSET($BN$2,0,0,ROW()-1,60),ROW()-1,FALSE))</f>
        <v/>
      </c>
      <c r="BF76" t="str">
        <f ca="1">IF(AND(ISNUMBER($BF$275),$B$185=1),$BF$275,HLOOKUP(INDIRECT(ADDRESS(2,COLUMN())),OFFSET($BN$2,0,0,ROW()-1,60),ROW()-1,FALSE))</f>
        <v/>
      </c>
      <c r="BG76" t="str">
        <f ca="1">IF(AND(ISNUMBER($BG$275),$B$185=1),$BG$275,HLOOKUP(INDIRECT(ADDRESS(2,COLUMN())),OFFSET($BN$2,0,0,ROW()-1,60),ROW()-1,FALSE))</f>
        <v/>
      </c>
      <c r="BH76" t="str">
        <f ca="1">IF(AND(ISNUMBER($BH$275),$B$185=1),$BH$275,HLOOKUP(INDIRECT(ADDRESS(2,COLUMN())),OFFSET($BN$2,0,0,ROW()-1,60),ROW()-1,FALSE))</f>
        <v/>
      </c>
      <c r="BI76" t="str">
        <f ca="1">IF(AND(ISNUMBER($BI$275),$B$185=1),$BI$275,HLOOKUP(INDIRECT(ADDRESS(2,COLUMN())),OFFSET($BN$2,0,0,ROW()-1,60),ROW()-1,FALSE))</f>
        <v/>
      </c>
      <c r="BJ76" t="str">
        <f ca="1">IF(AND(ISNUMBER($BJ$275),$B$185=1),$BJ$275,HLOOKUP(INDIRECT(ADDRESS(2,COLUMN())),OFFSET($BN$2,0,0,ROW()-1,60),ROW()-1,FALSE))</f>
        <v/>
      </c>
      <c r="BK76" t="str">
        <f ca="1">IF(AND(ISNUMBER($BK$275),$B$185=1),$BK$275,HLOOKUP(INDIRECT(ADDRESS(2,COLUMN())),OFFSET($BN$2,0,0,ROW()-1,60),ROW()-1,FALSE))</f>
        <v/>
      </c>
      <c r="BL76" t="str">
        <f ca="1">IF(AND(ISNUMBER($BL$275),$B$185=1),$BL$275,HLOOKUP(INDIRECT(ADDRESS(2,COLUMN())),OFFSET($BN$2,0,0,ROW()-1,60),ROW()-1,FALSE))</f>
        <v/>
      </c>
      <c r="BM76" t="str">
        <f ca="1">IF(AND(ISNUMBER($BM$275),$B$185=1),$BM$275,HLOOKUP(INDIRECT(ADDRESS(2,COLUMN())),OFFSET($BN$2,0,0,ROW()-1,60),ROW()-1,FALSE))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>
      <c r="A77" t="str">
        <f>"    Truist Financial Corp"</f>
        <v xml:space="preserve">    Truist Financial Corp</v>
      </c>
      <c r="B77" t="str">
        <f>"TFC US Equity"</f>
        <v>TFC US Equity</v>
      </c>
      <c r="C77" t="str">
        <f t="shared" si="7"/>
        <v>BS962</v>
      </c>
      <c r="D77" t="str">
        <f t="shared" si="8"/>
        <v>BS_RSD_MTG_SRVC_PORTFOLIO</v>
      </c>
      <c r="E77" t="str">
        <f t="shared" si="9"/>
        <v>Dynamic</v>
      </c>
      <c r="F77">
        <f ca="1">IF(AND(ISNUMBER($F$276),$B$185=1),$F$276,HLOOKUP(INDIRECT(ADDRESS(2,COLUMN())),OFFSET($BN$2,0,0,ROW()-1,60),ROW()-1,FALSE))</f>
        <v>273412</v>
      </c>
      <c r="G77">
        <f ca="1">IF(AND(ISNUMBER($G$276),$B$185=1),$G$276,HLOOKUP(INDIRECT(ADDRESS(2,COLUMN())),OFFSET($BN$2,0,0,ROW()-1,60),ROW()-1,FALSE))</f>
        <v>275424</v>
      </c>
      <c r="H77">
        <f ca="1">IF(AND(ISNUMBER($H$276),$B$185=1),$H$276,HLOOKUP(INDIRECT(ADDRESS(2,COLUMN())),OFFSET($BN$2,0,0,ROW()-1,60),ROW()-1,FALSE))</f>
        <v>263173</v>
      </c>
      <c r="I77">
        <f ca="1">IF(AND(ISNUMBER($I$276),$B$185=1),$I$276,HLOOKUP(INDIRECT(ADDRESS(2,COLUMN())),OFFSET($BN$2,0,0,ROW()-1,60),ROW()-1,FALSE))</f>
        <v>265890</v>
      </c>
      <c r="J77">
        <f ca="1">IF(AND(ISNUMBER($J$276),$B$185=1),$J$276,HLOOKUP(INDIRECT(ADDRESS(2,COLUMN())),OFFSET($BN$2,0,0,ROW()-1,60),ROW()-1,FALSE))</f>
        <v>269068</v>
      </c>
      <c r="K77">
        <f ca="1">IF(AND(ISNUMBER($K$276),$B$185=1),$K$276,HLOOKUP(INDIRECT(ADDRESS(2,COLUMN())),OFFSET($BN$2,0,0,ROW()-1,60),ROW()-1,FALSE))</f>
        <v>271632</v>
      </c>
      <c r="L77">
        <f ca="1">IF(AND(ISNUMBER($L$276),$B$185=1),$L$276,HLOOKUP(INDIRECT(ADDRESS(2,COLUMN())),OFFSET($BN$2,0,0,ROW()-1,60),ROW()-1,FALSE))</f>
        <v>280064</v>
      </c>
      <c r="M77">
        <f ca="1">IF(AND(ISNUMBER($M$276),$B$185=1),$M$276,HLOOKUP(INDIRECT(ADDRESS(2,COLUMN())),OFFSET($BN$2,0,0,ROW()-1,60),ROW()-1,FALSE))</f>
        <v>272323</v>
      </c>
      <c r="N77">
        <f ca="1">IF(AND(ISNUMBER($N$276),$B$185=1),$N$276,HLOOKUP(INDIRECT(ADDRESS(2,COLUMN())),OFFSET($BN$2,0,0,ROW()-1,60),ROW()-1,FALSE))</f>
        <v>274028</v>
      </c>
      <c r="O77">
        <f ca="1">IF(AND(ISNUMBER($O$276),$B$185=1),$O$276,HLOOKUP(INDIRECT(ADDRESS(2,COLUMN())),OFFSET($BN$2,0,0,ROW()-1,60),ROW()-1,FALSE))</f>
        <v>275526</v>
      </c>
      <c r="P77">
        <f ca="1">IF(AND(ISNUMBER($P$276),$B$185=1),$P$276,HLOOKUP(INDIRECT(ADDRESS(2,COLUMN())),OFFSET($BN$2,0,0,ROW()-1,60),ROW()-1,FALSE))</f>
        <v>262845</v>
      </c>
      <c r="Q77">
        <f ca="1">IF(AND(ISNUMBER($Q$276),$B$185=1),$Q$276,HLOOKUP(INDIRECT(ADDRESS(2,COLUMN())),OFFSET($BN$2,0,0,ROW()-1,60),ROW()-1,FALSE))</f>
        <v>246664</v>
      </c>
      <c r="R77">
        <f ca="1">IF(AND(ISNUMBER($R$276),$B$185=1),$R$276,HLOOKUP(INDIRECT(ADDRESS(2,COLUMN())),OFFSET($BN$2,0,0,ROW()-1,60),ROW()-1,FALSE))</f>
        <v>246727</v>
      </c>
      <c r="S77">
        <f ca="1">IF(AND(ISNUMBER($S$276),$B$185=1),$S$276,HLOOKUP(INDIRECT(ADDRESS(2,COLUMN())),OFFSET($BN$2,0,0,ROW()-1,60),ROW()-1,FALSE))</f>
        <v>248546</v>
      </c>
      <c r="T77">
        <f ca="1">IF(AND(ISNUMBER($T$276),$B$185=1),$T$276,HLOOKUP(INDIRECT(ADDRESS(2,COLUMN())),OFFSET($BN$2,0,0,ROW()-1,60),ROW()-1,FALSE))</f>
        <v>224035</v>
      </c>
      <c r="U77">
        <f ca="1">IF(AND(ISNUMBER($U$276),$B$185=1),$U$276,HLOOKUP(INDIRECT(ADDRESS(2,COLUMN())),OFFSET($BN$2,0,0,ROW()-1,60),ROW()-1,FALSE))</f>
        <v>228636</v>
      </c>
      <c r="V77">
        <f ca="1">IF(AND(ISNUMBER($V$276),$B$185=1),$V$276,HLOOKUP(INDIRECT(ADDRESS(2,COLUMN())),OFFSET($BN$2,0,0,ROW()-1,60),ROW()-1,FALSE))</f>
        <v>239034</v>
      </c>
      <c r="W77">
        <f ca="1">IF(AND(ISNUMBER($W$276),$B$185=1),$W$276,HLOOKUP(INDIRECT(ADDRESS(2,COLUMN())),OFFSET($BN$2,0,0,ROW()-1,60),ROW()-1,FALSE))</f>
        <v>253468</v>
      </c>
      <c r="X77">
        <f ca="1">IF(AND(ISNUMBER($X$276),$B$185=1),$X$276,HLOOKUP(INDIRECT(ADDRESS(2,COLUMN())),OFFSET($BN$2,0,0,ROW()-1,60),ROW()-1,FALSE))</f>
        <v>265435</v>
      </c>
      <c r="Y77">
        <f ca="1">IF(AND(ISNUMBER($Y$276),$B$185=1),$Y$276,HLOOKUP(INDIRECT(ADDRESS(2,COLUMN())),OFFSET($BN$2,0,0,ROW()-1,60),ROW()-1,FALSE))</f>
        <v>276304</v>
      </c>
      <c r="Z77">
        <f ca="1">IF(AND(ISNUMBER($Z$276),$B$185=1),$Z$276,HLOOKUP(INDIRECT(ADDRESS(2,COLUMN())),OFFSET($BN$2,0,0,ROW()-1,60),ROW()-1,FALSE))</f>
        <v>279558</v>
      </c>
      <c r="AA77">
        <f ca="1">IF(AND(ISNUMBER($AA$276),$B$185=1),$AA$276,HLOOKUP(INDIRECT(ADDRESS(2,COLUMN())),OFFSET($BN$2,0,0,ROW()-1,60),ROW()-1,FALSE))</f>
        <v>116269</v>
      </c>
      <c r="AB77">
        <f ca="1">IF(AND(ISNUMBER($AB$276),$B$185=1),$AB$276,HLOOKUP(INDIRECT(ADDRESS(2,COLUMN())),OFFSET($BN$2,0,0,ROW()-1,60),ROW()-1,FALSE))</f>
        <v>117912</v>
      </c>
      <c r="AC77">
        <f ca="1">IF(AND(ISNUMBER($AC$276),$B$185=1),$AC$276,HLOOKUP(INDIRECT(ADDRESS(2,COLUMN())),OFFSET($BN$2,0,0,ROW()-1,60),ROW()-1,FALSE))</f>
        <v>117980</v>
      </c>
      <c r="AD77">
        <f ca="1">IF(AND(ISNUMBER($AD$276),$B$185=1),$AD$276,HLOOKUP(INDIRECT(ADDRESS(2,COLUMN())),OFFSET($BN$2,0,0,ROW()-1,60),ROW()-1,FALSE))</f>
        <v>118605</v>
      </c>
      <c r="AE77">
        <f ca="1">IF(AND(ISNUMBER($AE$276),$B$185=1),$AE$276,HLOOKUP(INDIRECT(ADDRESS(2,COLUMN())),OFFSET($BN$2,0,0,ROW()-1,60),ROW()-1,FALSE))</f>
        <v>119460</v>
      </c>
      <c r="AF77">
        <f ca="1">IF(AND(ISNUMBER($AF$276),$B$185=1),$AF$276,HLOOKUP(INDIRECT(ADDRESS(2,COLUMN())),OFFSET($BN$2,0,0,ROW()-1,60),ROW()-1,FALSE))</f>
        <v>118753</v>
      </c>
      <c r="AG77">
        <f ca="1">IF(AND(ISNUMBER($AG$276),$B$185=1),$AG$276,HLOOKUP(INDIRECT(ADDRESS(2,COLUMN())),OFFSET($BN$2,0,0,ROW()-1,60),ROW()-1,FALSE))</f>
        <v>117827</v>
      </c>
      <c r="AH77">
        <f ca="1">IF(AND(ISNUMBER($AH$276),$B$185=1),$AH$276,HLOOKUP(INDIRECT(ADDRESS(2,COLUMN())),OFFSET($BN$2,0,0,ROW()-1,60),ROW()-1,FALSE))</f>
        <v>118424</v>
      </c>
      <c r="AI77">
        <f ca="1">IF(AND(ISNUMBER($AI$276),$B$185=1),$AI$276,HLOOKUP(INDIRECT(ADDRESS(2,COLUMN())),OFFSET($BN$2,0,0,ROW()-1,60),ROW()-1,FALSE))</f>
        <v>118736</v>
      </c>
      <c r="AJ77">
        <f ca="1">IF(AND(ISNUMBER($AJ$276),$B$185=1),$AJ$276,HLOOKUP(INDIRECT(ADDRESS(2,COLUMN())),OFFSET($BN$2,0,0,ROW()-1,60),ROW()-1,FALSE))</f>
        <v>120173</v>
      </c>
      <c r="AK77">
        <f ca="1">IF(AND(ISNUMBER($AK$276),$B$185=1),$AK$276,HLOOKUP(INDIRECT(ADDRESS(2,COLUMN())),OFFSET($BN$2,0,0,ROW()-1,60),ROW()-1,FALSE))</f>
        <v>121251</v>
      </c>
      <c r="AL77">
        <f ca="1">IF(AND(ISNUMBER($AL$276),$B$185=1),$AL$276,HLOOKUP(INDIRECT(ADDRESS(2,COLUMN())),OFFSET($BN$2,0,0,ROW()-1,60),ROW()-1,FALSE))</f>
        <v>121639</v>
      </c>
      <c r="AM77">
        <f ca="1">IF(AND(ISNUMBER($AM$276),$B$185=1),$AM$276,HLOOKUP(INDIRECT(ADDRESS(2,COLUMN())),OFFSET($BN$2,0,0,ROW()-1,60),ROW()-1,FALSE))</f>
        <v>122460</v>
      </c>
      <c r="AN77">
        <f ca="1">IF(AND(ISNUMBER($AN$276),$B$185=1),$AN$276,HLOOKUP(INDIRECT(ADDRESS(2,COLUMN())),OFFSET($BN$2,0,0,ROW()-1,60),ROW()-1,FALSE))</f>
        <v>122617</v>
      </c>
      <c r="AO77">
        <f ca="1">IF(AND(ISNUMBER($AO$276),$B$185=1),$AO$276,HLOOKUP(INDIRECT(ADDRESS(2,COLUMN())),OFFSET($BN$2,0,0,ROW()-1,60),ROW()-1,FALSE))</f>
        <v>121503</v>
      </c>
      <c r="AP77">
        <f ca="1">IF(AND(ISNUMBER($AP$276),$B$185=1),$AP$276,HLOOKUP(INDIRECT(ADDRESS(2,COLUMN())),OFFSET($BN$2,0,0,ROW()-1,60),ROW()-1,FALSE))</f>
        <v>122169</v>
      </c>
      <c r="AQ77">
        <f ca="1">IF(AND(ISNUMBER($AQ$276),$B$185=1),$AQ$276,HLOOKUP(INDIRECT(ADDRESS(2,COLUMN())),OFFSET($BN$2,0,0,ROW()-1,60),ROW()-1,FALSE))</f>
        <v>122639</v>
      </c>
      <c r="AR77">
        <f ca="1">IF(AND(ISNUMBER($AR$276),$B$185=1),$AR$276,HLOOKUP(INDIRECT(ADDRESS(2,COLUMN())),OFFSET($BN$2,0,0,ROW()-1,60),ROW()-1,FALSE))</f>
        <v>121162</v>
      </c>
      <c r="AS77">
        <f ca="1">IF(AND(ISNUMBER($AS$276),$B$185=1),$AS$276,HLOOKUP(INDIRECT(ADDRESS(2,COLUMN())),OFFSET($BN$2,0,0,ROW()-1,60),ROW()-1,FALSE))</f>
        <v>121079</v>
      </c>
      <c r="AT77">
        <f ca="1">IF(AND(ISNUMBER($AT$276),$B$185=1),$AT$276,HLOOKUP(INDIRECT(ADDRESS(2,COLUMN())),OFFSET($BN$2,0,0,ROW()-1,60),ROW()-1,FALSE))</f>
        <v>122257</v>
      </c>
      <c r="AU77">
        <f ca="1">IF(AND(ISNUMBER($AU$276),$B$185=1),$AU$276,HLOOKUP(INDIRECT(ADDRESS(2,COLUMN())),OFFSET($BN$2,0,0,ROW()-1,60),ROW()-1,FALSE))</f>
        <v>116224</v>
      </c>
      <c r="AV77">
        <f ca="1">IF(AND(ISNUMBER($AV$276),$B$185=1),$AV$276,HLOOKUP(INDIRECT(ADDRESS(2,COLUMN())),OFFSET($BN$2,0,0,ROW()-1,60),ROW()-1,FALSE))</f>
        <v>122749</v>
      </c>
      <c r="AW77">
        <f ca="1">IF(AND(ISNUMBER($AW$276),$B$185=1),$AW$276,HLOOKUP(INDIRECT(ADDRESS(2,COLUMN())),OFFSET($BN$2,0,0,ROW()-1,60),ROW()-1,FALSE))</f>
        <v>121942</v>
      </c>
      <c r="AX77">
        <f ca="1">IF(AND(ISNUMBER($AX$276),$B$185=1),$AX$276,HLOOKUP(INDIRECT(ADDRESS(2,COLUMN())),OFFSET($BN$2,0,0,ROW()-1,60),ROW()-1,FALSE))</f>
        <v>112835</v>
      </c>
      <c r="AY77">
        <f ca="1">IF(AND(ISNUMBER($AY$276),$B$185=1),$AY$276,HLOOKUP(INDIRECT(ADDRESS(2,COLUMN())),OFFSET($BN$2,0,0,ROW()-1,60),ROW()-1,FALSE))</f>
        <v>110807</v>
      </c>
      <c r="AZ77">
        <f ca="1">IF(AND(ISNUMBER($AZ$276),$B$185=1),$AZ$276,HLOOKUP(INDIRECT(ADDRESS(2,COLUMN())),OFFSET($BN$2,0,0,ROW()-1,60),ROW()-1,FALSE))</f>
        <v>107057</v>
      </c>
      <c r="BA77">
        <f ca="1">IF(AND(ISNUMBER($BA$276),$B$185=1),$BA$276,HLOOKUP(INDIRECT(ADDRESS(2,COLUMN())),OFFSET($BN$2,0,0,ROW()-1,60),ROW()-1,FALSE))</f>
        <v>103792</v>
      </c>
      <c r="BB77">
        <f ca="1">IF(AND(ISNUMBER($BB$276),$B$185=1),$BB$276,HLOOKUP(INDIRECT(ADDRESS(2,COLUMN())),OFFSET($BN$2,0,0,ROW()-1,60),ROW()-1,FALSE))</f>
        <v>101270</v>
      </c>
      <c r="BC77">
        <f ca="1">IF(AND(ISNUMBER($BC$276),$B$185=1),$BC$276,HLOOKUP(INDIRECT(ADDRESS(2,COLUMN())),OFFSET($BN$2,0,0,ROW()-1,60),ROW()-1,FALSE))</f>
        <v>99537</v>
      </c>
      <c r="BD77">
        <f ca="1">IF(AND(ISNUMBER($BD$276),$B$185=1),$BD$276,HLOOKUP(INDIRECT(ADDRESS(2,COLUMN())),OFFSET($BN$2,0,0,ROW()-1,60),ROW()-1,FALSE))</f>
        <v>97560</v>
      </c>
      <c r="BE77">
        <f ca="1">IF(AND(ISNUMBER($BE$276),$B$185=1),$BE$276,HLOOKUP(INDIRECT(ADDRESS(2,COLUMN())),OFFSET($BN$2,0,0,ROW()-1,60),ROW()-1,FALSE))</f>
        <v>94626</v>
      </c>
      <c r="BF77">
        <f ca="1">IF(AND(ISNUMBER($BF$276),$B$185=1),$BF$276,HLOOKUP(INDIRECT(ADDRESS(2,COLUMN())),OFFSET($BN$2,0,0,ROW()-1,60),ROW()-1,FALSE))</f>
        <v>91640</v>
      </c>
      <c r="BG77">
        <f ca="1">IF(AND(ISNUMBER($BG$276),$B$185=1),$BG$276,HLOOKUP(INDIRECT(ADDRESS(2,COLUMN())),OFFSET($BN$2,0,0,ROW()-1,60),ROW()-1,FALSE))</f>
        <v>88718</v>
      </c>
      <c r="BH77">
        <f ca="1">IF(AND(ISNUMBER($BH$276),$B$185=1),$BH$276,HLOOKUP(INDIRECT(ADDRESS(2,COLUMN())),OFFSET($BN$2,0,0,ROW()-1,60),ROW()-1,FALSE))</f>
        <v>86828</v>
      </c>
      <c r="BI77">
        <f ca="1">IF(AND(ISNUMBER($BI$276),$B$185=1),$BI$276,HLOOKUP(INDIRECT(ADDRESS(2,COLUMN())),OFFSET($BN$2,0,0,ROW()-1,60),ROW()-1,FALSE))</f>
        <v>86165</v>
      </c>
      <c r="BJ77">
        <f ca="1">IF(AND(ISNUMBER($BJ$276),$B$185=1),$BJ$276,HLOOKUP(INDIRECT(ADDRESS(2,COLUMN())),OFFSET($BN$2,0,0,ROW()-1,60),ROW()-1,FALSE))</f>
        <v>83475</v>
      </c>
      <c r="BK77">
        <f ca="1">IF(AND(ISNUMBER($BK$276),$B$185=1),$BK$276,HLOOKUP(INDIRECT(ADDRESS(2,COLUMN())),OFFSET($BN$2,0,0,ROW()-1,60),ROW()-1,FALSE))</f>
        <v>80538</v>
      </c>
      <c r="BL77">
        <f ca="1">IF(AND(ISNUMBER($BL$276),$B$185=1),$BL$276,HLOOKUP(INDIRECT(ADDRESS(2,COLUMN())),OFFSET($BN$2,0,0,ROW()-1,60),ROW()-1,FALSE))</f>
        <v>77943</v>
      </c>
      <c r="BM77" t="str">
        <f ca="1">IF(AND(ISNUMBER($BM$276),$B$185=1),$BM$276,HLOOKUP(INDIRECT(ADDRESS(2,COLUMN())),OFFSET($BN$2,0,0,ROW()-1,60),ROW()-1,FALSE))</f>
        <v/>
      </c>
      <c r="BN77">
        <f>273412</f>
        <v>273412</v>
      </c>
      <c r="BO77">
        <f>275424</f>
        <v>275424</v>
      </c>
      <c r="BP77">
        <f>263173</f>
        <v>263173</v>
      </c>
      <c r="BQ77">
        <f>265890</f>
        <v>265890</v>
      </c>
      <c r="BR77">
        <f>269068</f>
        <v>269068</v>
      </c>
      <c r="BS77">
        <f>271632</f>
        <v>271632</v>
      </c>
      <c r="BT77">
        <f>280064</f>
        <v>280064</v>
      </c>
      <c r="BU77">
        <f>272323</f>
        <v>272323</v>
      </c>
      <c r="BV77">
        <f>274028</f>
        <v>274028</v>
      </c>
      <c r="BW77">
        <f>275526</f>
        <v>275526</v>
      </c>
      <c r="BX77">
        <f>262845</f>
        <v>262845</v>
      </c>
      <c r="BY77">
        <f>246664</f>
        <v>246664</v>
      </c>
      <c r="BZ77">
        <f>246727</f>
        <v>246727</v>
      </c>
      <c r="CA77">
        <f>248546</f>
        <v>248546</v>
      </c>
      <c r="CB77">
        <f>224035</f>
        <v>224035</v>
      </c>
      <c r="CC77">
        <f>228636</f>
        <v>228636</v>
      </c>
      <c r="CD77">
        <f>239034</f>
        <v>239034</v>
      </c>
      <c r="CE77">
        <f>253468</f>
        <v>253468</v>
      </c>
      <c r="CF77">
        <f>265435</f>
        <v>265435</v>
      </c>
      <c r="CG77">
        <f>276304</f>
        <v>276304</v>
      </c>
      <c r="CH77">
        <f>279558</f>
        <v>279558</v>
      </c>
      <c r="CI77">
        <f>116269</f>
        <v>116269</v>
      </c>
      <c r="CJ77">
        <f>117912</f>
        <v>117912</v>
      </c>
      <c r="CK77">
        <f>117980</f>
        <v>117980</v>
      </c>
      <c r="CL77">
        <f>118605</f>
        <v>118605</v>
      </c>
      <c r="CM77">
        <f>119460</f>
        <v>119460</v>
      </c>
      <c r="CN77">
        <f>118753</f>
        <v>118753</v>
      </c>
      <c r="CO77">
        <f>117827</f>
        <v>117827</v>
      </c>
      <c r="CP77">
        <f>118424</f>
        <v>118424</v>
      </c>
      <c r="CQ77">
        <f>118736</f>
        <v>118736</v>
      </c>
      <c r="CR77">
        <f>120173</f>
        <v>120173</v>
      </c>
      <c r="CS77">
        <f>121251</f>
        <v>121251</v>
      </c>
      <c r="CT77">
        <f>121639</f>
        <v>121639</v>
      </c>
      <c r="CU77">
        <f>122460</f>
        <v>122460</v>
      </c>
      <c r="CV77">
        <f>122617</f>
        <v>122617</v>
      </c>
      <c r="CW77">
        <f>121503</f>
        <v>121503</v>
      </c>
      <c r="CX77">
        <f>122169</f>
        <v>122169</v>
      </c>
      <c r="CY77">
        <f>122639</f>
        <v>122639</v>
      </c>
      <c r="CZ77">
        <f>121162</f>
        <v>121162</v>
      </c>
      <c r="DA77">
        <f>121079</f>
        <v>121079</v>
      </c>
      <c r="DB77">
        <f>122257</f>
        <v>122257</v>
      </c>
      <c r="DC77">
        <f>116224</f>
        <v>116224</v>
      </c>
      <c r="DD77">
        <f>122749</f>
        <v>122749</v>
      </c>
      <c r="DE77">
        <f>121942</f>
        <v>121942</v>
      </c>
      <c r="DF77">
        <f>112835</f>
        <v>112835</v>
      </c>
      <c r="DG77">
        <f>110807</f>
        <v>110807</v>
      </c>
      <c r="DH77">
        <f>107057</f>
        <v>107057</v>
      </c>
      <c r="DI77">
        <f>103792</f>
        <v>103792</v>
      </c>
      <c r="DJ77">
        <f>101270</f>
        <v>101270</v>
      </c>
      <c r="DK77">
        <f>99537</f>
        <v>99537</v>
      </c>
      <c r="DL77">
        <f>97560</f>
        <v>97560</v>
      </c>
      <c r="DM77">
        <f>94626</f>
        <v>94626</v>
      </c>
      <c r="DN77">
        <f>91640</f>
        <v>91640</v>
      </c>
      <c r="DO77">
        <f>88718</f>
        <v>88718</v>
      </c>
      <c r="DP77">
        <f>86828</f>
        <v>86828</v>
      </c>
      <c r="DQ77">
        <f>86165</f>
        <v>86165</v>
      </c>
      <c r="DR77">
        <f>83475</f>
        <v>83475</v>
      </c>
      <c r="DS77">
        <f>80538</f>
        <v>80538</v>
      </c>
      <c r="DT77">
        <f>77943</f>
        <v>77943</v>
      </c>
      <c r="DU77" t="str">
        <f>""</f>
        <v/>
      </c>
    </row>
    <row r="78" spans="1:125">
      <c r="A78" t="str">
        <f>"    US Bancorp"</f>
        <v xml:space="preserve">    US Bancorp</v>
      </c>
      <c r="B78" t="str">
        <f>"USB US Equity"</f>
        <v>USB US Equity</v>
      </c>
      <c r="C78" t="str">
        <f t="shared" si="7"/>
        <v>BS962</v>
      </c>
      <c r="D78" t="str">
        <f t="shared" si="8"/>
        <v>BS_RSD_MTG_SRVC_PORTFOLIO</v>
      </c>
      <c r="E78" t="str">
        <f t="shared" si="9"/>
        <v>Dynamic</v>
      </c>
      <c r="F78" t="str">
        <f ca="1">IF(AND(ISNUMBER($F$277),$B$185=1),$F$277,HLOOKUP(INDIRECT(ADDRESS(2,COLUMN())),OFFSET($BN$2,0,0,ROW()-1,60),ROW()-1,FALSE))</f>
        <v/>
      </c>
      <c r="G78" t="str">
        <f ca="1">IF(AND(ISNUMBER($G$277),$B$185=1),$G$277,HLOOKUP(INDIRECT(ADDRESS(2,COLUMN())),OFFSET($BN$2,0,0,ROW()-1,60),ROW()-1,FALSE))</f>
        <v/>
      </c>
      <c r="H78" t="str">
        <f ca="1">IF(AND(ISNUMBER($H$277),$B$185=1),$H$277,HLOOKUP(INDIRECT(ADDRESS(2,COLUMN())),OFFSET($BN$2,0,0,ROW()-1,60),ROW()-1,FALSE))</f>
        <v/>
      </c>
      <c r="I78" t="str">
        <f ca="1">IF(AND(ISNUMBER($I$277),$B$185=1),$I$277,HLOOKUP(INDIRECT(ADDRESS(2,COLUMN())),OFFSET($BN$2,0,0,ROW()-1,60),ROW()-1,FALSE))</f>
        <v/>
      </c>
      <c r="J78" t="str">
        <f ca="1">IF(AND(ISNUMBER($J$277),$B$185=1),$J$277,HLOOKUP(INDIRECT(ADDRESS(2,COLUMN())),OFFSET($BN$2,0,0,ROW()-1,60),ROW()-1,FALSE))</f>
        <v/>
      </c>
      <c r="K78" t="str">
        <f ca="1">IF(AND(ISNUMBER($K$277),$B$185=1),$K$277,HLOOKUP(INDIRECT(ADDRESS(2,COLUMN())),OFFSET($BN$2,0,0,ROW()-1,60),ROW()-1,FALSE))</f>
        <v/>
      </c>
      <c r="L78" t="str">
        <f ca="1">IF(AND(ISNUMBER($L$277),$B$185=1),$L$277,HLOOKUP(INDIRECT(ADDRESS(2,COLUMN())),OFFSET($BN$2,0,0,ROW()-1,60),ROW()-1,FALSE))</f>
        <v/>
      </c>
      <c r="M78" t="str">
        <f ca="1">IF(AND(ISNUMBER($M$277),$B$185=1),$M$277,HLOOKUP(INDIRECT(ADDRESS(2,COLUMN())),OFFSET($BN$2,0,0,ROW()-1,60),ROW()-1,FALSE))</f>
        <v/>
      </c>
      <c r="N78" t="str">
        <f ca="1">IF(AND(ISNUMBER($N$277),$B$185=1),$N$277,HLOOKUP(INDIRECT(ADDRESS(2,COLUMN())),OFFSET($BN$2,0,0,ROW()-1,60),ROW()-1,FALSE))</f>
        <v/>
      </c>
      <c r="O78" t="str">
        <f ca="1">IF(AND(ISNUMBER($O$277),$B$185=1),$O$277,HLOOKUP(INDIRECT(ADDRESS(2,COLUMN())),OFFSET($BN$2,0,0,ROW()-1,60),ROW()-1,FALSE))</f>
        <v/>
      </c>
      <c r="P78" t="str">
        <f ca="1">IF(AND(ISNUMBER($P$277),$B$185=1),$P$277,HLOOKUP(INDIRECT(ADDRESS(2,COLUMN())),OFFSET($BN$2,0,0,ROW()-1,60),ROW()-1,FALSE))</f>
        <v/>
      </c>
      <c r="Q78" t="str">
        <f ca="1">IF(AND(ISNUMBER($Q$277),$B$185=1),$Q$277,HLOOKUP(INDIRECT(ADDRESS(2,COLUMN())),OFFSET($BN$2,0,0,ROW()-1,60),ROW()-1,FALSE))</f>
        <v/>
      </c>
      <c r="R78" t="str">
        <f ca="1">IF(AND(ISNUMBER($R$277),$B$185=1),$R$277,HLOOKUP(INDIRECT(ADDRESS(2,COLUMN())),OFFSET($BN$2,0,0,ROW()-1,60),ROW()-1,FALSE))</f>
        <v/>
      </c>
      <c r="S78" t="str">
        <f ca="1">IF(AND(ISNUMBER($S$277),$B$185=1),$S$277,HLOOKUP(INDIRECT(ADDRESS(2,COLUMN())),OFFSET($BN$2,0,0,ROW()-1,60),ROW()-1,FALSE))</f>
        <v/>
      </c>
      <c r="T78" t="str">
        <f ca="1">IF(AND(ISNUMBER($T$277),$B$185=1),$T$277,HLOOKUP(INDIRECT(ADDRESS(2,COLUMN())),OFFSET($BN$2,0,0,ROW()-1,60),ROW()-1,FALSE))</f>
        <v/>
      </c>
      <c r="U78" t="str">
        <f ca="1">IF(AND(ISNUMBER($U$277),$B$185=1),$U$277,HLOOKUP(INDIRECT(ADDRESS(2,COLUMN())),OFFSET($BN$2,0,0,ROW()-1,60),ROW()-1,FALSE))</f>
        <v/>
      </c>
      <c r="V78" t="str">
        <f ca="1">IF(AND(ISNUMBER($V$277),$B$185=1),$V$277,HLOOKUP(INDIRECT(ADDRESS(2,COLUMN())),OFFSET($BN$2,0,0,ROW()-1,60),ROW()-1,FALSE))</f>
        <v/>
      </c>
      <c r="W78" t="str">
        <f ca="1">IF(AND(ISNUMBER($W$277),$B$185=1),$W$277,HLOOKUP(INDIRECT(ADDRESS(2,COLUMN())),OFFSET($BN$2,0,0,ROW()-1,60),ROW()-1,FALSE))</f>
        <v/>
      </c>
      <c r="X78" t="str">
        <f ca="1">IF(AND(ISNUMBER($X$277),$B$185=1),$X$277,HLOOKUP(INDIRECT(ADDRESS(2,COLUMN())),OFFSET($BN$2,0,0,ROW()-1,60),ROW()-1,FALSE))</f>
        <v/>
      </c>
      <c r="Y78" t="str">
        <f ca="1">IF(AND(ISNUMBER($Y$277),$B$185=1),$Y$277,HLOOKUP(INDIRECT(ADDRESS(2,COLUMN())),OFFSET($BN$2,0,0,ROW()-1,60),ROW()-1,FALSE))</f>
        <v/>
      </c>
      <c r="Z78" t="str">
        <f ca="1">IF(AND(ISNUMBER($Z$277),$B$185=1),$Z$277,HLOOKUP(INDIRECT(ADDRESS(2,COLUMN())),OFFSET($BN$2,0,0,ROW()-1,60),ROW()-1,FALSE))</f>
        <v/>
      </c>
      <c r="AA78" t="str">
        <f ca="1">IF(AND(ISNUMBER($AA$277),$B$185=1),$AA$277,HLOOKUP(INDIRECT(ADDRESS(2,COLUMN())),OFFSET($BN$2,0,0,ROW()-1,60),ROW()-1,FALSE))</f>
        <v/>
      </c>
      <c r="AB78" t="str">
        <f ca="1">IF(AND(ISNUMBER($AB$277),$B$185=1),$AB$277,HLOOKUP(INDIRECT(ADDRESS(2,COLUMN())),OFFSET($BN$2,0,0,ROW()-1,60),ROW()-1,FALSE))</f>
        <v/>
      </c>
      <c r="AC78" t="str">
        <f ca="1">IF(AND(ISNUMBER($AC$277),$B$185=1),$AC$277,HLOOKUP(INDIRECT(ADDRESS(2,COLUMN())),OFFSET($BN$2,0,0,ROW()-1,60),ROW()-1,FALSE))</f>
        <v/>
      </c>
      <c r="AD78" t="str">
        <f ca="1">IF(AND(ISNUMBER($AD$277),$B$185=1),$AD$277,HLOOKUP(INDIRECT(ADDRESS(2,COLUMN())),OFFSET($BN$2,0,0,ROW()-1,60),ROW()-1,FALSE))</f>
        <v/>
      </c>
      <c r="AE78" t="str">
        <f ca="1">IF(AND(ISNUMBER($AE$277),$B$185=1),$AE$277,HLOOKUP(INDIRECT(ADDRESS(2,COLUMN())),OFFSET($BN$2,0,0,ROW()-1,60),ROW()-1,FALSE))</f>
        <v/>
      </c>
      <c r="AF78" t="str">
        <f ca="1">IF(AND(ISNUMBER($AF$277),$B$185=1),$AF$277,HLOOKUP(INDIRECT(ADDRESS(2,COLUMN())),OFFSET($BN$2,0,0,ROW()-1,60),ROW()-1,FALSE))</f>
        <v/>
      </c>
      <c r="AG78" t="str">
        <f ca="1">IF(AND(ISNUMBER($AG$277),$B$185=1),$AG$277,HLOOKUP(INDIRECT(ADDRESS(2,COLUMN())),OFFSET($BN$2,0,0,ROW()-1,60),ROW()-1,FALSE))</f>
        <v/>
      </c>
      <c r="AH78" t="str">
        <f ca="1">IF(AND(ISNUMBER($AH$277),$B$185=1),$AH$277,HLOOKUP(INDIRECT(ADDRESS(2,COLUMN())),OFFSET($BN$2,0,0,ROW()-1,60),ROW()-1,FALSE))</f>
        <v/>
      </c>
      <c r="AI78" t="str">
        <f ca="1">IF(AND(ISNUMBER($AI$277),$B$185=1),$AI$277,HLOOKUP(INDIRECT(ADDRESS(2,COLUMN())),OFFSET($BN$2,0,0,ROW()-1,60),ROW()-1,FALSE))</f>
        <v/>
      </c>
      <c r="AJ78" t="str">
        <f ca="1">IF(AND(ISNUMBER($AJ$277),$B$185=1),$AJ$277,HLOOKUP(INDIRECT(ADDRESS(2,COLUMN())),OFFSET($BN$2,0,0,ROW()-1,60),ROW()-1,FALSE))</f>
        <v/>
      </c>
      <c r="AK78" t="str">
        <f ca="1">IF(AND(ISNUMBER($AK$277),$B$185=1),$AK$277,HLOOKUP(INDIRECT(ADDRESS(2,COLUMN())),OFFSET($BN$2,0,0,ROW()-1,60),ROW()-1,FALSE))</f>
        <v/>
      </c>
      <c r="AL78" t="str">
        <f ca="1">IF(AND(ISNUMBER($AL$277),$B$185=1),$AL$277,HLOOKUP(INDIRECT(ADDRESS(2,COLUMN())),OFFSET($BN$2,0,0,ROW()-1,60),ROW()-1,FALSE))</f>
        <v/>
      </c>
      <c r="AM78" t="str">
        <f ca="1">IF(AND(ISNUMBER($AM$277),$B$185=1),$AM$277,HLOOKUP(INDIRECT(ADDRESS(2,COLUMN())),OFFSET($BN$2,0,0,ROW()-1,60),ROW()-1,FALSE))</f>
        <v/>
      </c>
      <c r="AN78" t="str">
        <f ca="1">IF(AND(ISNUMBER($AN$277),$B$185=1),$AN$277,HLOOKUP(INDIRECT(ADDRESS(2,COLUMN())),OFFSET($BN$2,0,0,ROW()-1,60),ROW()-1,FALSE))</f>
        <v/>
      </c>
      <c r="AO78" t="str">
        <f ca="1">IF(AND(ISNUMBER($AO$277),$B$185=1),$AO$277,HLOOKUP(INDIRECT(ADDRESS(2,COLUMN())),OFFSET($BN$2,0,0,ROW()-1,60),ROW()-1,FALSE))</f>
        <v/>
      </c>
      <c r="AP78" t="str">
        <f ca="1">IF(AND(ISNUMBER($AP$277),$B$185=1),$AP$277,HLOOKUP(INDIRECT(ADDRESS(2,COLUMN())),OFFSET($BN$2,0,0,ROW()-1,60),ROW()-1,FALSE))</f>
        <v/>
      </c>
      <c r="AQ78" t="str">
        <f ca="1">IF(AND(ISNUMBER($AQ$277),$B$185=1),$AQ$277,HLOOKUP(INDIRECT(ADDRESS(2,COLUMN())),OFFSET($BN$2,0,0,ROW()-1,60),ROW()-1,FALSE))</f>
        <v/>
      </c>
      <c r="AR78" t="str">
        <f ca="1">IF(AND(ISNUMBER($AR$277),$B$185=1),$AR$277,HLOOKUP(INDIRECT(ADDRESS(2,COLUMN())),OFFSET($BN$2,0,0,ROW()-1,60),ROW()-1,FALSE))</f>
        <v/>
      </c>
      <c r="AS78" t="str">
        <f ca="1">IF(AND(ISNUMBER($AS$277),$B$185=1),$AS$277,HLOOKUP(INDIRECT(ADDRESS(2,COLUMN())),OFFSET($BN$2,0,0,ROW()-1,60),ROW()-1,FALSE))</f>
        <v/>
      </c>
      <c r="AT78" t="str">
        <f ca="1">IF(AND(ISNUMBER($AT$277),$B$185=1),$AT$277,HLOOKUP(INDIRECT(ADDRESS(2,COLUMN())),OFFSET($BN$2,0,0,ROW()-1,60),ROW()-1,FALSE))</f>
        <v/>
      </c>
      <c r="AU78" t="str">
        <f ca="1">IF(AND(ISNUMBER($AU$277),$B$185=1),$AU$277,HLOOKUP(INDIRECT(ADDRESS(2,COLUMN())),OFFSET($BN$2,0,0,ROW()-1,60),ROW()-1,FALSE))</f>
        <v/>
      </c>
      <c r="AV78" t="str">
        <f ca="1">IF(AND(ISNUMBER($AV$277),$B$185=1),$AV$277,HLOOKUP(INDIRECT(ADDRESS(2,COLUMN())),OFFSET($BN$2,0,0,ROW()-1,60),ROW()-1,FALSE))</f>
        <v/>
      </c>
      <c r="AW78" t="str">
        <f ca="1">IF(AND(ISNUMBER($AW$277),$B$185=1),$AW$277,HLOOKUP(INDIRECT(ADDRESS(2,COLUMN())),OFFSET($BN$2,0,0,ROW()-1,60),ROW()-1,FALSE))</f>
        <v/>
      </c>
      <c r="AX78" t="str">
        <f ca="1">IF(AND(ISNUMBER($AX$277),$B$185=1),$AX$277,HLOOKUP(INDIRECT(ADDRESS(2,COLUMN())),OFFSET($BN$2,0,0,ROW()-1,60),ROW()-1,FALSE))</f>
        <v/>
      </c>
      <c r="AY78" t="str">
        <f ca="1">IF(AND(ISNUMBER($AY$277),$B$185=1),$AY$277,HLOOKUP(INDIRECT(ADDRESS(2,COLUMN())),OFFSET($BN$2,0,0,ROW()-1,60),ROW()-1,FALSE))</f>
        <v/>
      </c>
      <c r="AZ78" t="str">
        <f ca="1">IF(AND(ISNUMBER($AZ$277),$B$185=1),$AZ$277,HLOOKUP(INDIRECT(ADDRESS(2,COLUMN())),OFFSET($BN$2,0,0,ROW()-1,60),ROW()-1,FALSE))</f>
        <v/>
      </c>
      <c r="BA78" t="str">
        <f ca="1">IF(AND(ISNUMBER($BA$277),$B$185=1),$BA$277,HLOOKUP(INDIRECT(ADDRESS(2,COLUMN())),OFFSET($BN$2,0,0,ROW()-1,60),ROW()-1,FALSE))</f>
        <v/>
      </c>
      <c r="BB78" t="str">
        <f ca="1">IF(AND(ISNUMBER($BB$277),$B$185=1),$BB$277,HLOOKUP(INDIRECT(ADDRESS(2,COLUMN())),OFFSET($BN$2,0,0,ROW()-1,60),ROW()-1,FALSE))</f>
        <v/>
      </c>
      <c r="BC78" t="str">
        <f ca="1">IF(AND(ISNUMBER($BC$277),$B$185=1),$BC$277,HLOOKUP(INDIRECT(ADDRESS(2,COLUMN())),OFFSET($BN$2,0,0,ROW()-1,60),ROW()-1,FALSE))</f>
        <v/>
      </c>
      <c r="BD78" t="str">
        <f ca="1">IF(AND(ISNUMBER($BD$277),$B$185=1),$BD$277,HLOOKUP(INDIRECT(ADDRESS(2,COLUMN())),OFFSET($BN$2,0,0,ROW()-1,60),ROW()-1,FALSE))</f>
        <v/>
      </c>
      <c r="BE78" t="str">
        <f ca="1">IF(AND(ISNUMBER($BE$277),$B$185=1),$BE$277,HLOOKUP(INDIRECT(ADDRESS(2,COLUMN())),OFFSET($BN$2,0,0,ROW()-1,60),ROW()-1,FALSE))</f>
        <v/>
      </c>
      <c r="BF78" t="str">
        <f ca="1">IF(AND(ISNUMBER($BF$277),$B$185=1),$BF$277,HLOOKUP(INDIRECT(ADDRESS(2,COLUMN())),OFFSET($BN$2,0,0,ROW()-1,60),ROW()-1,FALSE))</f>
        <v/>
      </c>
      <c r="BG78" t="str">
        <f ca="1">IF(AND(ISNUMBER($BG$277),$B$185=1),$BG$277,HLOOKUP(INDIRECT(ADDRESS(2,COLUMN())),OFFSET($BN$2,0,0,ROW()-1,60),ROW()-1,FALSE))</f>
        <v/>
      </c>
      <c r="BH78" t="str">
        <f ca="1">IF(AND(ISNUMBER($BH$277),$B$185=1),$BH$277,HLOOKUP(INDIRECT(ADDRESS(2,COLUMN())),OFFSET($BN$2,0,0,ROW()-1,60),ROW()-1,FALSE))</f>
        <v/>
      </c>
      <c r="BI78" t="str">
        <f ca="1">IF(AND(ISNUMBER($BI$277),$B$185=1),$BI$277,HLOOKUP(INDIRECT(ADDRESS(2,COLUMN())),OFFSET($BN$2,0,0,ROW()-1,60),ROW()-1,FALSE))</f>
        <v/>
      </c>
      <c r="BJ78" t="str">
        <f ca="1">IF(AND(ISNUMBER($BJ$277),$B$185=1),$BJ$277,HLOOKUP(INDIRECT(ADDRESS(2,COLUMN())),OFFSET($BN$2,0,0,ROW()-1,60),ROW()-1,FALSE))</f>
        <v/>
      </c>
      <c r="BK78" t="str">
        <f ca="1">IF(AND(ISNUMBER($BK$277),$B$185=1),$BK$277,HLOOKUP(INDIRECT(ADDRESS(2,COLUMN())),OFFSET($BN$2,0,0,ROW()-1,60),ROW()-1,FALSE))</f>
        <v/>
      </c>
      <c r="BL78" t="str">
        <f ca="1">IF(AND(ISNUMBER($BL$277),$B$185=1),$BL$277,HLOOKUP(INDIRECT(ADDRESS(2,COLUMN())),OFFSET($BN$2,0,0,ROW()-1,60),ROW()-1,FALSE))</f>
        <v/>
      </c>
      <c r="BM78" t="str">
        <f ca="1">IF(AND(ISNUMBER($BM$277),$B$185=1),$BM$277,HLOOKUP(INDIRECT(ADDRESS(2,COLUMN())),OFFSET($BN$2,0,0,ROW()-1,60),ROW()-1,FALSE))</f>
        <v/>
      </c>
      <c r="BN78" t="str">
        <f>""</f>
        <v/>
      </c>
      <c r="BO78" t="str">
        <f>""</f>
        <v/>
      </c>
      <c r="BP78" t="str">
        <f>""</f>
        <v/>
      </c>
      <c r="BQ78" t="str">
        <f>""</f>
        <v/>
      </c>
      <c r="BR78" t="str">
        <f>""</f>
        <v/>
      </c>
      <c r="BS78" t="str">
        <f>""</f>
        <v/>
      </c>
      <c r="BT78" t="str">
        <f>""</f>
        <v/>
      </c>
      <c r="BU78" t="str">
        <f>""</f>
        <v/>
      </c>
      <c r="BV78" t="str">
        <f>""</f>
        <v/>
      </c>
      <c r="BW78" t="str">
        <f>""</f>
        <v/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  <c r="CI78" t="str">
        <f>""</f>
        <v/>
      </c>
      <c r="CJ78" t="str">
        <f>""</f>
        <v/>
      </c>
      <c r="CK78" t="str">
        <f>""</f>
        <v/>
      </c>
      <c r="CL78" t="str">
        <f>""</f>
        <v/>
      </c>
      <c r="CM78" t="str">
        <f>""</f>
        <v/>
      </c>
      <c r="CN78" t="str">
        <f>""</f>
        <v/>
      </c>
      <c r="CO78" t="str">
        <f>""</f>
        <v/>
      </c>
      <c r="CP78" t="str">
        <f>""</f>
        <v/>
      </c>
      <c r="CQ78" t="str">
        <f>""</f>
        <v/>
      </c>
      <c r="CR78" t="str">
        <f>""</f>
        <v/>
      </c>
      <c r="CS78" t="str">
        <f>""</f>
        <v/>
      </c>
      <c r="CT78" t="str">
        <f>""</f>
        <v/>
      </c>
      <c r="CU78" t="str">
        <f>""</f>
        <v/>
      </c>
      <c r="CV78" t="str">
        <f>""</f>
        <v/>
      </c>
      <c r="CW78" t="str">
        <f>""</f>
        <v/>
      </c>
      <c r="CX78" t="str">
        <f>""</f>
        <v/>
      </c>
      <c r="CY78" t="str">
        <f>""</f>
        <v/>
      </c>
      <c r="CZ78" t="str">
        <f>""</f>
        <v/>
      </c>
      <c r="DA78" t="str">
        <f>""</f>
        <v/>
      </c>
      <c r="DB78" t="str">
        <f>""</f>
        <v/>
      </c>
      <c r="DC78" t="str">
        <f>""</f>
        <v/>
      </c>
      <c r="DD78" t="str">
        <f>""</f>
        <v/>
      </c>
      <c r="DE78" t="str">
        <f>""</f>
        <v/>
      </c>
      <c r="DF78" t="str">
        <f>""</f>
        <v/>
      </c>
      <c r="DG78" t="str">
        <f>""</f>
        <v/>
      </c>
      <c r="DH78" t="str">
        <f>""</f>
        <v/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>
      <c r="A79" t="str">
        <f>"    Wells Fargo &amp; Co"</f>
        <v xml:space="preserve">    Wells Fargo &amp; Co</v>
      </c>
      <c r="B79" t="str">
        <f>"WFC US Equity"</f>
        <v>WFC US Equity</v>
      </c>
      <c r="C79" t="str">
        <f t="shared" si="7"/>
        <v>BS962</v>
      </c>
      <c r="D79" t="str">
        <f t="shared" si="8"/>
        <v>BS_RSD_MTG_SRVC_PORTFOLIO</v>
      </c>
      <c r="E79" t="str">
        <f t="shared" si="9"/>
        <v>Dynamic</v>
      </c>
      <c r="F79">
        <f ca="1">IF(AND(ISNUMBER($F$278),$B$185=1),$F$278,HLOOKUP(INDIRECT(ADDRESS(2,COLUMN())),OFFSET($BN$2,0,0,ROW()-1,60),ROW()-1,FALSE))</f>
        <v>487000</v>
      </c>
      <c r="G79">
        <f ca="1">IF(AND(ISNUMBER($G$278),$B$185=1),$G$278,HLOOKUP(INDIRECT(ADDRESS(2,COLUMN())),OFFSET($BN$2,0,0,ROW()-1,60),ROW()-1,FALSE))</f>
        <v>754000</v>
      </c>
      <c r="H79">
        <f ca="1">IF(AND(ISNUMBER($H$278),$B$185=1),$H$278,HLOOKUP(INDIRECT(ADDRESS(2,COLUMN())),OFFSET($BN$2,0,0,ROW()-1,60),ROW()-1,FALSE))</f>
        <v>771000</v>
      </c>
      <c r="I79">
        <f ca="1">IF(AND(ISNUMBER($I$278),$B$185=1),$I$278,HLOOKUP(INDIRECT(ADDRESS(2,COLUMN())),OFFSET($BN$2,0,0,ROW()-1,60),ROW()-1,FALSE))</f>
        <v>795000</v>
      </c>
      <c r="J79">
        <f ca="1">IF(AND(ISNUMBER($J$278),$B$185=1),$J$278,HLOOKUP(INDIRECT(ADDRESS(2,COLUMN())),OFFSET($BN$2,0,0,ROW()-1,60),ROW()-1,FALSE))</f>
        <v>560000</v>
      </c>
      <c r="K79">
        <f ca="1">IF(AND(ISNUMBER($K$278),$B$185=1),$K$278,HLOOKUP(INDIRECT(ADDRESS(2,COLUMN())),OFFSET($BN$2,0,0,ROW()-1,60),ROW()-1,FALSE))</f>
        <v>857000</v>
      </c>
      <c r="L79">
        <f ca="1">IF(AND(ISNUMBER($L$278),$B$185=1),$L$278,HLOOKUP(INDIRECT(ADDRESS(2,COLUMN())),OFFSET($BN$2,0,0,ROW()-1,60),ROW()-1,FALSE))</f>
        <v>904000</v>
      </c>
      <c r="M79">
        <f ca="1">IF(AND(ISNUMBER($M$278),$B$185=1),$M$278,HLOOKUP(INDIRECT(ADDRESS(2,COLUMN())),OFFSET($BN$2,0,0,ROW()-1,60),ROW()-1,FALSE))</f>
        <v>938000</v>
      </c>
      <c r="N79">
        <f ca="1">IF(AND(ISNUMBER($N$278),$B$185=1),$N$278,HLOOKUP(INDIRECT(ADDRESS(2,COLUMN())),OFFSET($BN$2,0,0,ROW()-1,60),ROW()-1,FALSE))</f>
        <v>954000</v>
      </c>
      <c r="O79">
        <f ca="1">IF(AND(ISNUMBER($O$278),$B$185=1),$O$278,HLOOKUP(INDIRECT(ADDRESS(2,COLUMN())),OFFSET($BN$2,0,0,ROW()-1,60),ROW()-1,FALSE))</f>
        <v>962000</v>
      </c>
      <c r="P79">
        <f ca="1">IF(AND(ISNUMBER($P$278),$B$185=1),$P$278,HLOOKUP(INDIRECT(ADDRESS(2,COLUMN())),OFFSET($BN$2,0,0,ROW()-1,60),ROW()-1,FALSE))</f>
        <v>973000</v>
      </c>
      <c r="Q79">
        <f ca="1">IF(AND(ISNUMBER($Q$278),$B$185=1),$Q$278,HLOOKUP(INDIRECT(ADDRESS(2,COLUMN())),OFFSET($BN$2,0,0,ROW()-1,60),ROW()-1,FALSE))</f>
        <v>978000</v>
      </c>
      <c r="R79">
        <f ca="1">IF(AND(ISNUMBER($R$278),$B$185=1),$R$278,HLOOKUP(INDIRECT(ADDRESS(2,COLUMN())),OFFSET($BN$2,0,0,ROW()-1,60),ROW()-1,FALSE))</f>
        <v>994000</v>
      </c>
      <c r="S79">
        <f ca="1">IF(AND(ISNUMBER($S$278),$B$185=1),$S$278,HLOOKUP(INDIRECT(ADDRESS(2,COLUMN())),OFFSET($BN$2,0,0,ROW()-1,60),ROW()-1,FALSE))</f>
        <v>1021000</v>
      </c>
      <c r="T79">
        <f ca="1">IF(AND(ISNUMBER($T$278),$B$185=1),$T$278,HLOOKUP(INDIRECT(ADDRESS(2,COLUMN())),OFFSET($BN$2,0,0,ROW()-1,60),ROW()-1,FALSE))</f>
        <v>1055000</v>
      </c>
      <c r="U79">
        <f ca="1">IF(AND(ISNUMBER($U$278),$B$185=1),$U$278,HLOOKUP(INDIRECT(ADDRESS(2,COLUMN())),OFFSET($BN$2,0,0,ROW()-1,60),ROW()-1,FALSE))</f>
        <v>1106000</v>
      </c>
      <c r="V79">
        <f ca="1">IF(AND(ISNUMBER($V$278),$B$185=1),$V$278,HLOOKUP(INDIRECT(ADDRESS(2,COLUMN())),OFFSET($BN$2,0,0,ROW()-1,60),ROW()-1,FALSE))</f>
        <v>1182000</v>
      </c>
      <c r="W79">
        <f ca="1">IF(AND(ISNUMBER($W$278),$B$185=1),$W$278,HLOOKUP(INDIRECT(ADDRESS(2,COLUMN())),OFFSET($BN$2,0,0,ROW()-1,60),ROW()-1,FALSE))</f>
        <v>1262000</v>
      </c>
      <c r="X79">
        <f ca="1">IF(AND(ISNUMBER($X$278),$B$185=1),$X$278,HLOOKUP(INDIRECT(ADDRESS(2,COLUMN())),OFFSET($BN$2,0,0,ROW()-1,60),ROW()-1,FALSE))</f>
        <v>1327000</v>
      </c>
      <c r="Y79">
        <f ca="1">IF(AND(ISNUMBER($Y$278),$B$185=1),$Y$278,HLOOKUP(INDIRECT(ADDRESS(2,COLUMN())),OFFSET($BN$2,0,0,ROW()-1,60),ROW()-1,FALSE))</f>
        <v>1382000</v>
      </c>
      <c r="Z79">
        <f ca="1">IF(AND(ISNUMBER($Z$278),$B$185=1),$Z$278,HLOOKUP(INDIRECT(ADDRESS(2,COLUMN())),OFFSET($BN$2,0,0,ROW()-1,60),ROW()-1,FALSE))</f>
        <v>1408000</v>
      </c>
      <c r="AA79">
        <f ca="1">IF(AND(ISNUMBER($AA$278),$B$185=1),$AA$278,HLOOKUP(INDIRECT(ADDRESS(2,COLUMN())),OFFSET($BN$2,0,0,ROW()-1,60),ROW()-1,FALSE))</f>
        <v>1432000</v>
      </c>
      <c r="AB79">
        <f ca="1">IF(AND(ISNUMBER($AB$278),$B$185=1),$AB$278,HLOOKUP(INDIRECT(ADDRESS(2,COLUMN())),OFFSET($BN$2,0,0,ROW()-1,60),ROW()-1,FALSE))</f>
        <v>1452000</v>
      </c>
      <c r="AC79">
        <f ca="1">IF(AND(ISNUMBER($AC$278),$B$185=1),$AC$278,HLOOKUP(INDIRECT(ADDRESS(2,COLUMN())),OFFSET($BN$2,0,0,ROW()-1,60),ROW()-1,FALSE))</f>
        <v>1482000</v>
      </c>
      <c r="AD79">
        <f ca="1">IF(AND(ISNUMBER($AD$278),$B$185=1),$AD$278,HLOOKUP(INDIRECT(ADDRESS(2,COLUMN())),OFFSET($BN$2,0,0,ROW()-1,60),ROW()-1,FALSE))</f>
        <v>1502</v>
      </c>
      <c r="AE79">
        <f ca="1">IF(AND(ISNUMBER($AE$278),$B$185=1),$AE$278,HLOOKUP(INDIRECT(ADDRESS(2,COLUMN())),OFFSET($BN$2,0,0,ROW()-1,60),ROW()-1,FALSE))</f>
        <v>1526000</v>
      </c>
      <c r="AF79">
        <f ca="1">IF(AND(ISNUMBER($AF$278),$B$185=1),$AF$278,HLOOKUP(INDIRECT(ADDRESS(2,COLUMN())),OFFSET($BN$2,0,0,ROW()-1,60),ROW()-1,FALSE))</f>
        <v>1534000</v>
      </c>
      <c r="AG79">
        <f ca="1">IF(AND(ISNUMBER($AG$278),$B$185=1),$AG$278,HLOOKUP(INDIRECT(ADDRESS(2,COLUMN())),OFFSET($BN$2,0,0,ROW()-1,60),ROW()-1,FALSE))</f>
        <v>1543000</v>
      </c>
      <c r="AH79">
        <f ca="1">IF(AND(ISNUMBER($AH$278),$B$185=1),$AH$278,HLOOKUP(INDIRECT(ADDRESS(2,COLUMN())),OFFSET($BN$2,0,0,ROW()-1,60),ROW()-1,FALSE))</f>
        <v>1554000</v>
      </c>
      <c r="AI79">
        <f ca="1">IF(AND(ISNUMBER($AI$278),$B$185=1),$AI$278,HLOOKUP(INDIRECT(ADDRESS(2,COLUMN())),OFFSET($BN$2,0,0,ROW()-1,60),ROW()-1,FALSE))</f>
        <v>1566000</v>
      </c>
      <c r="AJ79">
        <f ca="1">IF(AND(ISNUMBER($AJ$278),$B$185=1),$AJ$278,HLOOKUP(INDIRECT(ADDRESS(2,COLUMN())),OFFSET($BN$2,0,0,ROW()-1,60),ROW()-1,FALSE))</f>
        <v>1536000</v>
      </c>
      <c r="AK79">
        <f ca="1">IF(AND(ISNUMBER($AK$278),$B$185=1),$AK$278,HLOOKUP(INDIRECT(ADDRESS(2,COLUMN())),OFFSET($BN$2,0,0,ROW()-1,60),ROW()-1,FALSE))</f>
        <v>1543000</v>
      </c>
      <c r="AL79">
        <f ca="1">IF(AND(ISNUMBER($AL$278),$B$185=1),$AL$278,HLOOKUP(INDIRECT(ADDRESS(2,COLUMN())),OFFSET($BN$2,0,0,ROW()-1,60),ROW()-1,FALSE))</f>
        <v>1560000</v>
      </c>
      <c r="AM79">
        <f ca="1">IF(AND(ISNUMBER($AM$278),$B$185=1),$AM$278,HLOOKUP(INDIRECT(ADDRESS(2,COLUMN())),OFFSET($BN$2,0,0,ROW()-1,60),ROW()-1,FALSE))</f>
        <v>1582000</v>
      </c>
      <c r="AN79">
        <f ca="1">IF(AND(ISNUMBER($AN$278),$B$185=1),$AN$278,HLOOKUP(INDIRECT(ADDRESS(2,COLUMN())),OFFSET($BN$2,0,0,ROW()-1,60),ROW()-1,FALSE))</f>
        <v>1603000</v>
      </c>
      <c r="AO79">
        <f ca="1">IF(AND(ISNUMBER($AO$278),$B$185=1),$AO$278,HLOOKUP(INDIRECT(ADDRESS(2,COLUMN())),OFFSET($BN$2,0,0,ROW()-1,60),ROW()-1,FALSE))</f>
        <v>1626000</v>
      </c>
      <c r="AP79">
        <f ca="1">IF(AND(ISNUMBER($AP$278),$B$185=1),$AP$278,HLOOKUP(INDIRECT(ADDRESS(2,COLUMN())),OFFSET($BN$2,0,0,ROW()-1,60),ROW()-1,FALSE))</f>
        <v>1649000</v>
      </c>
      <c r="AQ79">
        <f ca="1">IF(AND(ISNUMBER($AQ$278),$B$185=1),$AQ$278,HLOOKUP(INDIRECT(ADDRESS(2,COLUMN())),OFFSET($BN$2,0,0,ROW()-1,60),ROW()-1,FALSE))</f>
        <v>1673000</v>
      </c>
      <c r="AR79">
        <f ca="1">IF(AND(ISNUMBER($AR$278),$B$185=1),$AR$278,HLOOKUP(INDIRECT(ADDRESS(2,COLUMN())),OFFSET($BN$2,0,0,ROW()-1,60),ROW()-1,FALSE))</f>
        <v>1696000</v>
      </c>
      <c r="AS79">
        <f ca="1">IF(AND(ISNUMBER($AS$278),$B$185=1),$AS$278,HLOOKUP(INDIRECT(ADDRESS(2,COLUMN())),OFFSET($BN$2,0,0,ROW()-1,60),ROW()-1,FALSE))</f>
        <v>1723000</v>
      </c>
      <c r="AT79">
        <f ca="1">IF(AND(ISNUMBER($AT$278),$B$185=1),$AT$278,HLOOKUP(INDIRECT(ADDRESS(2,COLUMN())),OFFSET($BN$2,0,0,ROW()-1,60),ROW()-1,FALSE))</f>
        <v>1752000</v>
      </c>
      <c r="AU79">
        <f ca="1">IF(AND(ISNUMBER($AU$278),$B$185=1),$AU$278,HLOOKUP(INDIRECT(ADDRESS(2,COLUMN())),OFFSET($BN$2,0,0,ROW()-1,60),ROW()-1,FALSE))</f>
        <v>1777000</v>
      </c>
      <c r="AV79">
        <f ca="1">IF(AND(ISNUMBER($AV$278),$B$185=1),$AV$278,HLOOKUP(INDIRECT(ADDRESS(2,COLUMN())),OFFSET($BN$2,0,0,ROW()-1,60),ROW()-1,FALSE))</f>
        <v>1797000</v>
      </c>
      <c r="AW79">
        <f ca="1">IF(AND(ISNUMBER($AW$278),$B$185=1),$AW$278,HLOOKUP(INDIRECT(ADDRESS(2,COLUMN())),OFFSET($BN$2,0,0,ROW()-1,60),ROW()-1,FALSE))</f>
        <v>1812000</v>
      </c>
      <c r="AX79">
        <f ca="1">IF(AND(ISNUMBER($AX$278),$B$185=1),$AX$278,HLOOKUP(INDIRECT(ADDRESS(2,COLUMN())),OFFSET($BN$2,0,0,ROW()-1,60),ROW()-1,FALSE))</f>
        <v>1829000</v>
      </c>
      <c r="AY79">
        <f ca="1">IF(AND(ISNUMBER($AY$278),$B$185=1),$AY$278,HLOOKUP(INDIRECT(ADDRESS(2,COLUMN())),OFFSET($BN$2,0,0,ROW()-1,60),ROW()-1,FALSE))</f>
        <v>1844000</v>
      </c>
      <c r="AZ79">
        <f ca="1">IF(AND(ISNUMBER($AZ$278),$B$185=1),$AZ$278,HLOOKUP(INDIRECT(ADDRESS(2,COLUMN())),OFFSET($BN$2,0,0,ROW()-1,60),ROW()-1,FALSE))</f>
        <v>1851000</v>
      </c>
      <c r="BA79">
        <f ca="1">IF(AND(ISNUMBER($BA$278),$B$185=1),$BA$278,HLOOKUP(INDIRECT(ADDRESS(2,COLUMN())),OFFSET($BN$2,0,0,ROW()-1,60),ROW()-1,FALSE))</f>
        <v>1860000</v>
      </c>
      <c r="BB79">
        <f ca="1">IF(AND(ISNUMBER($BB$278),$B$185=1),$BB$278,HLOOKUP(INDIRECT(ADDRESS(2,COLUMN())),OFFSET($BN$2,0,0,ROW()-1,60),ROW()-1,FALSE))</f>
        <v>1873000</v>
      </c>
      <c r="BC79">
        <f ca="1">IF(AND(ISNUMBER($BC$278),$B$185=1),$BC$278,HLOOKUP(INDIRECT(ADDRESS(2,COLUMN())),OFFSET($BN$2,0,0,ROW()-1,60),ROW()-1,FALSE))</f>
        <v>1879000</v>
      </c>
      <c r="BD79">
        <f ca="1">IF(AND(ISNUMBER($BD$278),$B$185=1),$BD$278,HLOOKUP(INDIRECT(ADDRESS(2,COLUMN())),OFFSET($BN$2,0,0,ROW()-1,60),ROW()-1,FALSE))</f>
        <v>1863000</v>
      </c>
      <c r="BE79">
        <f ca="1">IF(AND(ISNUMBER($BE$278),$B$185=1),$BE$278,HLOOKUP(INDIRECT(ADDRESS(2,COLUMN())),OFFSET($BN$2,0,0,ROW()-1,60),ROW()-1,FALSE))</f>
        <v>1840000</v>
      </c>
      <c r="BF79">
        <f ca="1">IF(AND(ISNUMBER($BF$278),$B$185=1),$BF$278,HLOOKUP(INDIRECT(ADDRESS(2,COLUMN())),OFFSET($BN$2,0,0,ROW()-1,60),ROW()-1,FALSE))</f>
        <v>1822000</v>
      </c>
      <c r="BG79">
        <f ca="1">IF(AND(ISNUMBER($BG$278),$B$185=1),$BG$278,HLOOKUP(INDIRECT(ADDRESS(2,COLUMN())),OFFSET($BN$2,0,0,ROW()-1,60),ROW()-1,FALSE))</f>
        <v>1814000</v>
      </c>
      <c r="BH79">
        <f ca="1">IF(AND(ISNUMBER($BH$278),$B$185=1),$BH$278,HLOOKUP(INDIRECT(ADDRESS(2,COLUMN())),OFFSET($BN$2,0,0,ROW()-1,60),ROW()-1,FALSE))</f>
        <v>1810000</v>
      </c>
      <c r="BI79">
        <f ca="1">IF(AND(ISNUMBER($BI$278),$B$185=1),$BI$278,HLOOKUP(INDIRECT(ADDRESS(2,COLUMN())),OFFSET($BN$2,0,0,ROW()-1,60),ROW()-1,FALSE))</f>
        <v>1808000</v>
      </c>
      <c r="BJ79">
        <f ca="1">IF(AND(ISNUMBER($BJ$278),$B$185=1),$BJ$278,HLOOKUP(INDIRECT(ADDRESS(2,COLUMN())),OFFSET($BN$2,0,0,ROW()-1,60),ROW()-1,FALSE))</f>
        <v>1809000</v>
      </c>
      <c r="BK79">
        <f ca="1">IF(AND(ISNUMBER($BK$278),$B$185=1),$BK$278,HLOOKUP(INDIRECT(ADDRESS(2,COLUMN())),OFFSET($BN$2,0,0,ROW()-1,60),ROW()-1,FALSE))</f>
        <v>1808000</v>
      </c>
      <c r="BL79">
        <f ca="1">IF(AND(ISNUMBER($BL$278),$B$185=1),$BL$278,HLOOKUP(INDIRECT(ADDRESS(2,COLUMN())),OFFSET($BN$2,0,0,ROW()-1,60),ROW()-1,FALSE))</f>
        <v>1812000</v>
      </c>
      <c r="BM79" t="str">
        <f ca="1">IF(AND(ISNUMBER($BM$278),$B$185=1),$BM$278,HLOOKUP(INDIRECT(ADDRESS(2,COLUMN())),OFFSET($BN$2,0,0,ROW()-1,60),ROW()-1,FALSE))</f>
        <v/>
      </c>
      <c r="BN79">
        <f>487000</f>
        <v>487000</v>
      </c>
      <c r="BO79">
        <f>754000</f>
        <v>754000</v>
      </c>
      <c r="BP79">
        <f>771000</f>
        <v>771000</v>
      </c>
      <c r="BQ79">
        <f>795000</f>
        <v>795000</v>
      </c>
      <c r="BR79">
        <f>560000</f>
        <v>560000</v>
      </c>
      <c r="BS79">
        <f>857000</f>
        <v>857000</v>
      </c>
      <c r="BT79">
        <f>904000</f>
        <v>904000</v>
      </c>
      <c r="BU79">
        <f>938000</f>
        <v>938000</v>
      </c>
      <c r="BV79">
        <f>954000</f>
        <v>954000</v>
      </c>
      <c r="BW79">
        <f>962000</f>
        <v>962000</v>
      </c>
      <c r="BX79">
        <f>973000</f>
        <v>973000</v>
      </c>
      <c r="BY79">
        <f>978000</f>
        <v>978000</v>
      </c>
      <c r="BZ79">
        <f>994000</f>
        <v>994000</v>
      </c>
      <c r="CA79">
        <f>1021000</f>
        <v>1021000</v>
      </c>
      <c r="CB79">
        <f>1055000</f>
        <v>1055000</v>
      </c>
      <c r="CC79">
        <f>1106000</f>
        <v>1106000</v>
      </c>
      <c r="CD79">
        <f>1182000</f>
        <v>1182000</v>
      </c>
      <c r="CE79">
        <f>1262000</f>
        <v>1262000</v>
      </c>
      <c r="CF79">
        <f>1327000</f>
        <v>1327000</v>
      </c>
      <c r="CG79">
        <f>1382000</f>
        <v>1382000</v>
      </c>
      <c r="CH79">
        <f>1408000</f>
        <v>1408000</v>
      </c>
      <c r="CI79">
        <f>1432000</f>
        <v>1432000</v>
      </c>
      <c r="CJ79">
        <f>1452000</f>
        <v>1452000</v>
      </c>
      <c r="CK79">
        <f>1482000</f>
        <v>1482000</v>
      </c>
      <c r="CL79">
        <f>1502</f>
        <v>1502</v>
      </c>
      <c r="CM79">
        <f>1526000</f>
        <v>1526000</v>
      </c>
      <c r="CN79">
        <f>1534000</f>
        <v>1534000</v>
      </c>
      <c r="CO79">
        <f>1543000</f>
        <v>1543000</v>
      </c>
      <c r="CP79">
        <f>1554000</f>
        <v>1554000</v>
      </c>
      <c r="CQ79">
        <f>1566000</f>
        <v>1566000</v>
      </c>
      <c r="CR79">
        <f>1536000</f>
        <v>1536000</v>
      </c>
      <c r="CS79">
        <f>1543000</f>
        <v>1543000</v>
      </c>
      <c r="CT79">
        <f>1560000</f>
        <v>1560000</v>
      </c>
      <c r="CU79">
        <f>1582000</f>
        <v>1582000</v>
      </c>
      <c r="CV79">
        <f>1603000</f>
        <v>1603000</v>
      </c>
      <c r="CW79">
        <f>1626000</f>
        <v>1626000</v>
      </c>
      <c r="CX79">
        <f>1649000</f>
        <v>1649000</v>
      </c>
      <c r="CY79">
        <f>1673000</f>
        <v>1673000</v>
      </c>
      <c r="CZ79">
        <f>1696000</f>
        <v>1696000</v>
      </c>
      <c r="DA79">
        <f>1723000</f>
        <v>1723000</v>
      </c>
      <c r="DB79">
        <f>1752000</f>
        <v>1752000</v>
      </c>
      <c r="DC79">
        <f>1777000</f>
        <v>1777000</v>
      </c>
      <c r="DD79">
        <f>1797000</f>
        <v>1797000</v>
      </c>
      <c r="DE79">
        <f>1812000</f>
        <v>1812000</v>
      </c>
      <c r="DF79">
        <f>1829000</f>
        <v>1829000</v>
      </c>
      <c r="DG79">
        <f>1844000</f>
        <v>1844000</v>
      </c>
      <c r="DH79">
        <f>1851000</f>
        <v>1851000</v>
      </c>
      <c r="DI79">
        <f>1860000</f>
        <v>1860000</v>
      </c>
      <c r="DJ79">
        <f>1873000</f>
        <v>1873000</v>
      </c>
      <c r="DK79">
        <f>1879000</f>
        <v>1879000</v>
      </c>
      <c r="DL79">
        <f>1863000</f>
        <v>1863000</v>
      </c>
      <c r="DM79">
        <f>1840000</f>
        <v>1840000</v>
      </c>
      <c r="DN79">
        <f>1822000</f>
        <v>1822000</v>
      </c>
      <c r="DO79">
        <f>1814000</f>
        <v>1814000</v>
      </c>
      <c r="DP79">
        <f>1810000</f>
        <v>1810000</v>
      </c>
      <c r="DQ79">
        <f>1808000</f>
        <v>1808000</v>
      </c>
      <c r="DR79">
        <f>1809000</f>
        <v>1809000</v>
      </c>
      <c r="DS79">
        <f>1808000</f>
        <v>1808000</v>
      </c>
      <c r="DT79">
        <f>1812000</f>
        <v>1812000</v>
      </c>
      <c r="DU79" t="str">
        <f>""</f>
        <v/>
      </c>
    </row>
    <row r="80" spans="1:125">
      <c r="A80" t="str">
        <f>"    Western Alliance Bancorp"</f>
        <v xml:space="preserve">    Western Alliance Bancorp</v>
      </c>
      <c r="B80" t="str">
        <f>"WAL US Equity"</f>
        <v>WAL US Equity</v>
      </c>
      <c r="C80" t="str">
        <f t="shared" si="7"/>
        <v>BS962</v>
      </c>
      <c r="D80" t="str">
        <f t="shared" si="8"/>
        <v>BS_RSD_MTG_SRVC_PORTFOLIO</v>
      </c>
      <c r="E80" t="str">
        <f t="shared" si="9"/>
        <v>Dynamic</v>
      </c>
      <c r="F80" t="str">
        <f ca="1">IF(AND(ISNUMBER($F$279),$B$185=1),$F$279,HLOOKUP(INDIRECT(ADDRESS(2,COLUMN())),OFFSET($BN$2,0,0,ROW()-1,60),ROW()-1,FALSE))</f>
        <v/>
      </c>
      <c r="G80" t="str">
        <f ca="1">IF(AND(ISNUMBER($G$279),$B$185=1),$G$279,HLOOKUP(INDIRECT(ADDRESS(2,COLUMN())),OFFSET($BN$2,0,0,ROW()-1,60),ROW()-1,FALSE))</f>
        <v/>
      </c>
      <c r="H80" t="str">
        <f ca="1">IF(AND(ISNUMBER($H$279),$B$185=1),$H$279,HLOOKUP(INDIRECT(ADDRESS(2,COLUMN())),OFFSET($BN$2,0,0,ROW()-1,60),ROW()-1,FALSE))</f>
        <v/>
      </c>
      <c r="I80" t="str">
        <f ca="1">IF(AND(ISNUMBER($I$279),$B$185=1),$I$279,HLOOKUP(INDIRECT(ADDRESS(2,COLUMN())),OFFSET($BN$2,0,0,ROW()-1,60),ROW()-1,FALSE))</f>
        <v/>
      </c>
      <c r="J80" t="str">
        <f ca="1">IF(AND(ISNUMBER($J$279),$B$185=1),$J$279,HLOOKUP(INDIRECT(ADDRESS(2,COLUMN())),OFFSET($BN$2,0,0,ROW()-1,60),ROW()-1,FALSE))</f>
        <v/>
      </c>
      <c r="K80" t="str">
        <f ca="1">IF(AND(ISNUMBER($K$279),$B$185=1),$K$279,HLOOKUP(INDIRECT(ADDRESS(2,COLUMN())),OFFSET($BN$2,0,0,ROW()-1,60),ROW()-1,FALSE))</f>
        <v/>
      </c>
      <c r="L80" t="str">
        <f ca="1">IF(AND(ISNUMBER($L$279),$B$185=1),$L$279,HLOOKUP(INDIRECT(ADDRESS(2,COLUMN())),OFFSET($BN$2,0,0,ROW()-1,60),ROW()-1,FALSE))</f>
        <v/>
      </c>
      <c r="M80" t="str">
        <f ca="1">IF(AND(ISNUMBER($M$279),$B$185=1),$M$279,HLOOKUP(INDIRECT(ADDRESS(2,COLUMN())),OFFSET($BN$2,0,0,ROW()-1,60),ROW()-1,FALSE))</f>
        <v/>
      </c>
      <c r="N80" t="str">
        <f ca="1">IF(AND(ISNUMBER($N$279),$B$185=1),$N$279,HLOOKUP(INDIRECT(ADDRESS(2,COLUMN())),OFFSET($BN$2,0,0,ROW()-1,60),ROW()-1,FALSE))</f>
        <v/>
      </c>
      <c r="O80" t="str">
        <f ca="1">IF(AND(ISNUMBER($O$279),$B$185=1),$O$279,HLOOKUP(INDIRECT(ADDRESS(2,COLUMN())),OFFSET($BN$2,0,0,ROW()-1,60),ROW()-1,FALSE))</f>
        <v/>
      </c>
      <c r="P80" t="str">
        <f ca="1">IF(AND(ISNUMBER($P$279),$B$185=1),$P$279,HLOOKUP(INDIRECT(ADDRESS(2,COLUMN())),OFFSET($BN$2,0,0,ROW()-1,60),ROW()-1,FALSE))</f>
        <v/>
      </c>
      <c r="Q80" t="str">
        <f ca="1">IF(AND(ISNUMBER($Q$279),$B$185=1),$Q$279,HLOOKUP(INDIRECT(ADDRESS(2,COLUMN())),OFFSET($BN$2,0,0,ROW()-1,60),ROW()-1,FALSE))</f>
        <v/>
      </c>
      <c r="R80" t="str">
        <f ca="1">IF(AND(ISNUMBER($R$279),$B$185=1),$R$279,HLOOKUP(INDIRECT(ADDRESS(2,COLUMN())),OFFSET($BN$2,0,0,ROW()-1,60),ROW()-1,FALSE))</f>
        <v/>
      </c>
      <c r="S80" t="str">
        <f ca="1">IF(AND(ISNUMBER($S$279),$B$185=1),$S$279,HLOOKUP(INDIRECT(ADDRESS(2,COLUMN())),OFFSET($BN$2,0,0,ROW()-1,60),ROW()-1,FALSE))</f>
        <v/>
      </c>
      <c r="T80" t="str">
        <f ca="1">IF(AND(ISNUMBER($T$279),$B$185=1),$T$279,HLOOKUP(INDIRECT(ADDRESS(2,COLUMN())),OFFSET($BN$2,0,0,ROW()-1,60),ROW()-1,FALSE))</f>
        <v/>
      </c>
      <c r="U80" t="str">
        <f ca="1">IF(AND(ISNUMBER($U$279),$B$185=1),$U$279,HLOOKUP(INDIRECT(ADDRESS(2,COLUMN())),OFFSET($BN$2,0,0,ROW()-1,60),ROW()-1,FALSE))</f>
        <v/>
      </c>
      <c r="V80" t="str">
        <f ca="1">IF(AND(ISNUMBER($V$279),$B$185=1),$V$279,HLOOKUP(INDIRECT(ADDRESS(2,COLUMN())),OFFSET($BN$2,0,0,ROW()-1,60),ROW()-1,FALSE))</f>
        <v/>
      </c>
      <c r="W80" t="str">
        <f ca="1">IF(AND(ISNUMBER($W$279),$B$185=1),$W$279,HLOOKUP(INDIRECT(ADDRESS(2,COLUMN())),OFFSET($BN$2,0,0,ROW()-1,60),ROW()-1,FALSE))</f>
        <v/>
      </c>
      <c r="X80" t="str">
        <f ca="1">IF(AND(ISNUMBER($X$279),$B$185=1),$X$279,HLOOKUP(INDIRECT(ADDRESS(2,COLUMN())),OFFSET($BN$2,0,0,ROW()-1,60),ROW()-1,FALSE))</f>
        <v/>
      </c>
      <c r="Y80" t="str">
        <f ca="1">IF(AND(ISNUMBER($Y$279),$B$185=1),$Y$279,HLOOKUP(INDIRECT(ADDRESS(2,COLUMN())),OFFSET($BN$2,0,0,ROW()-1,60),ROW()-1,FALSE))</f>
        <v/>
      </c>
      <c r="Z80" t="str">
        <f ca="1">IF(AND(ISNUMBER($Z$279),$B$185=1),$Z$279,HLOOKUP(INDIRECT(ADDRESS(2,COLUMN())),OFFSET($BN$2,0,0,ROW()-1,60),ROW()-1,FALSE))</f>
        <v/>
      </c>
      <c r="AA80" t="str">
        <f ca="1">IF(AND(ISNUMBER($AA$279),$B$185=1),$AA$279,HLOOKUP(INDIRECT(ADDRESS(2,COLUMN())),OFFSET($BN$2,0,0,ROW()-1,60),ROW()-1,FALSE))</f>
        <v/>
      </c>
      <c r="AB80" t="str">
        <f ca="1">IF(AND(ISNUMBER($AB$279),$B$185=1),$AB$279,HLOOKUP(INDIRECT(ADDRESS(2,COLUMN())),OFFSET($BN$2,0,0,ROW()-1,60),ROW()-1,FALSE))</f>
        <v/>
      </c>
      <c r="AC80" t="str">
        <f ca="1">IF(AND(ISNUMBER($AC$279),$B$185=1),$AC$279,HLOOKUP(INDIRECT(ADDRESS(2,COLUMN())),OFFSET($BN$2,0,0,ROW()-1,60),ROW()-1,FALSE))</f>
        <v/>
      </c>
      <c r="AD80" t="str">
        <f ca="1">IF(AND(ISNUMBER($AD$279),$B$185=1),$AD$279,HLOOKUP(INDIRECT(ADDRESS(2,COLUMN())),OFFSET($BN$2,0,0,ROW()-1,60),ROW()-1,FALSE))</f>
        <v/>
      </c>
      <c r="AE80" t="str">
        <f ca="1">IF(AND(ISNUMBER($AE$279),$B$185=1),$AE$279,HLOOKUP(INDIRECT(ADDRESS(2,COLUMN())),OFFSET($BN$2,0,0,ROW()-1,60),ROW()-1,FALSE))</f>
        <v/>
      </c>
      <c r="AF80" t="str">
        <f ca="1">IF(AND(ISNUMBER($AF$279),$B$185=1),$AF$279,HLOOKUP(INDIRECT(ADDRESS(2,COLUMN())),OFFSET($BN$2,0,0,ROW()-1,60),ROW()-1,FALSE))</f>
        <v/>
      </c>
      <c r="AG80" t="str">
        <f ca="1">IF(AND(ISNUMBER($AG$279),$B$185=1),$AG$279,HLOOKUP(INDIRECT(ADDRESS(2,COLUMN())),OFFSET($BN$2,0,0,ROW()-1,60),ROW()-1,FALSE))</f>
        <v/>
      </c>
      <c r="AH80" t="str">
        <f ca="1">IF(AND(ISNUMBER($AH$279),$B$185=1),$AH$279,HLOOKUP(INDIRECT(ADDRESS(2,COLUMN())),OFFSET($BN$2,0,0,ROW()-1,60),ROW()-1,FALSE))</f>
        <v/>
      </c>
      <c r="AI80" t="str">
        <f ca="1">IF(AND(ISNUMBER($AI$279),$B$185=1),$AI$279,HLOOKUP(INDIRECT(ADDRESS(2,COLUMN())),OFFSET($BN$2,0,0,ROW()-1,60),ROW()-1,FALSE))</f>
        <v/>
      </c>
      <c r="AJ80" t="str">
        <f ca="1">IF(AND(ISNUMBER($AJ$279),$B$185=1),$AJ$279,HLOOKUP(INDIRECT(ADDRESS(2,COLUMN())),OFFSET($BN$2,0,0,ROW()-1,60),ROW()-1,FALSE))</f>
        <v/>
      </c>
      <c r="AK80" t="str">
        <f ca="1">IF(AND(ISNUMBER($AK$279),$B$185=1),$AK$279,HLOOKUP(INDIRECT(ADDRESS(2,COLUMN())),OFFSET($BN$2,0,0,ROW()-1,60),ROW()-1,FALSE))</f>
        <v/>
      </c>
      <c r="AL80" t="str">
        <f ca="1">IF(AND(ISNUMBER($AL$279),$B$185=1),$AL$279,HLOOKUP(INDIRECT(ADDRESS(2,COLUMN())),OFFSET($BN$2,0,0,ROW()-1,60),ROW()-1,FALSE))</f>
        <v/>
      </c>
      <c r="AM80" t="str">
        <f ca="1">IF(AND(ISNUMBER($AM$279),$B$185=1),$AM$279,HLOOKUP(INDIRECT(ADDRESS(2,COLUMN())),OFFSET($BN$2,0,0,ROW()-1,60),ROW()-1,FALSE))</f>
        <v/>
      </c>
      <c r="AN80" t="str">
        <f ca="1">IF(AND(ISNUMBER($AN$279),$B$185=1),$AN$279,HLOOKUP(INDIRECT(ADDRESS(2,COLUMN())),OFFSET($BN$2,0,0,ROW()-1,60),ROW()-1,FALSE))</f>
        <v/>
      </c>
      <c r="AO80" t="str">
        <f ca="1">IF(AND(ISNUMBER($AO$279),$B$185=1),$AO$279,HLOOKUP(INDIRECT(ADDRESS(2,COLUMN())),OFFSET($BN$2,0,0,ROW()-1,60),ROW()-1,FALSE))</f>
        <v/>
      </c>
      <c r="AP80" t="str">
        <f ca="1">IF(AND(ISNUMBER($AP$279),$B$185=1),$AP$279,HLOOKUP(INDIRECT(ADDRESS(2,COLUMN())),OFFSET($BN$2,0,0,ROW()-1,60),ROW()-1,FALSE))</f>
        <v/>
      </c>
      <c r="AQ80" t="str">
        <f ca="1">IF(AND(ISNUMBER($AQ$279),$B$185=1),$AQ$279,HLOOKUP(INDIRECT(ADDRESS(2,COLUMN())),OFFSET($BN$2,0,0,ROW()-1,60),ROW()-1,FALSE))</f>
        <v/>
      </c>
      <c r="AR80" t="str">
        <f ca="1">IF(AND(ISNUMBER($AR$279),$B$185=1),$AR$279,HLOOKUP(INDIRECT(ADDRESS(2,COLUMN())),OFFSET($BN$2,0,0,ROW()-1,60),ROW()-1,FALSE))</f>
        <v/>
      </c>
      <c r="AS80" t="str">
        <f ca="1">IF(AND(ISNUMBER($AS$279),$B$185=1),$AS$279,HLOOKUP(INDIRECT(ADDRESS(2,COLUMN())),OFFSET($BN$2,0,0,ROW()-1,60),ROW()-1,FALSE))</f>
        <v/>
      </c>
      <c r="AT80" t="str">
        <f ca="1">IF(AND(ISNUMBER($AT$279),$B$185=1),$AT$279,HLOOKUP(INDIRECT(ADDRESS(2,COLUMN())),OFFSET($BN$2,0,0,ROW()-1,60),ROW()-1,FALSE))</f>
        <v/>
      </c>
      <c r="AU80" t="str">
        <f ca="1">IF(AND(ISNUMBER($AU$279),$B$185=1),$AU$279,HLOOKUP(INDIRECT(ADDRESS(2,COLUMN())),OFFSET($BN$2,0,0,ROW()-1,60),ROW()-1,FALSE))</f>
        <v/>
      </c>
      <c r="AV80" t="str">
        <f ca="1">IF(AND(ISNUMBER($AV$279),$B$185=1),$AV$279,HLOOKUP(INDIRECT(ADDRESS(2,COLUMN())),OFFSET($BN$2,0,0,ROW()-1,60),ROW()-1,FALSE))</f>
        <v/>
      </c>
      <c r="AW80" t="str">
        <f ca="1">IF(AND(ISNUMBER($AW$279),$B$185=1),$AW$279,HLOOKUP(INDIRECT(ADDRESS(2,COLUMN())),OFFSET($BN$2,0,0,ROW()-1,60),ROW()-1,FALSE))</f>
        <v/>
      </c>
      <c r="AX80" t="str">
        <f ca="1">IF(AND(ISNUMBER($AX$279),$B$185=1),$AX$279,HLOOKUP(INDIRECT(ADDRESS(2,COLUMN())),OFFSET($BN$2,0,0,ROW()-1,60),ROW()-1,FALSE))</f>
        <v/>
      </c>
      <c r="AY80" t="str">
        <f ca="1">IF(AND(ISNUMBER($AY$279),$B$185=1),$AY$279,HLOOKUP(INDIRECT(ADDRESS(2,COLUMN())),OFFSET($BN$2,0,0,ROW()-1,60),ROW()-1,FALSE))</f>
        <v/>
      </c>
      <c r="AZ80" t="str">
        <f ca="1">IF(AND(ISNUMBER($AZ$279),$B$185=1),$AZ$279,HLOOKUP(INDIRECT(ADDRESS(2,COLUMN())),OFFSET($BN$2,0,0,ROW()-1,60),ROW()-1,FALSE))</f>
        <v/>
      </c>
      <c r="BA80" t="str">
        <f ca="1">IF(AND(ISNUMBER($BA$279),$B$185=1),$BA$279,HLOOKUP(INDIRECT(ADDRESS(2,COLUMN())),OFFSET($BN$2,0,0,ROW()-1,60),ROW()-1,FALSE))</f>
        <v/>
      </c>
      <c r="BB80" t="str">
        <f ca="1">IF(AND(ISNUMBER($BB$279),$B$185=1),$BB$279,HLOOKUP(INDIRECT(ADDRESS(2,COLUMN())),OFFSET($BN$2,0,0,ROW()-1,60),ROW()-1,FALSE))</f>
        <v/>
      </c>
      <c r="BC80" t="str">
        <f ca="1">IF(AND(ISNUMBER($BC$279),$B$185=1),$BC$279,HLOOKUP(INDIRECT(ADDRESS(2,COLUMN())),OFFSET($BN$2,0,0,ROW()-1,60),ROW()-1,FALSE))</f>
        <v/>
      </c>
      <c r="BD80" t="str">
        <f ca="1">IF(AND(ISNUMBER($BD$279),$B$185=1),$BD$279,HLOOKUP(INDIRECT(ADDRESS(2,COLUMN())),OFFSET($BN$2,0,0,ROW()-1,60),ROW()-1,FALSE))</f>
        <v/>
      </c>
      <c r="BE80" t="str">
        <f ca="1">IF(AND(ISNUMBER($BE$279),$B$185=1),$BE$279,HLOOKUP(INDIRECT(ADDRESS(2,COLUMN())),OFFSET($BN$2,0,0,ROW()-1,60),ROW()-1,FALSE))</f>
        <v/>
      </c>
      <c r="BF80" t="str">
        <f ca="1">IF(AND(ISNUMBER($BF$279),$B$185=1),$BF$279,HLOOKUP(INDIRECT(ADDRESS(2,COLUMN())),OFFSET($BN$2,0,0,ROW()-1,60),ROW()-1,FALSE))</f>
        <v/>
      </c>
      <c r="BG80" t="str">
        <f ca="1">IF(AND(ISNUMBER($BG$279),$B$185=1),$BG$279,HLOOKUP(INDIRECT(ADDRESS(2,COLUMN())),OFFSET($BN$2,0,0,ROW()-1,60),ROW()-1,FALSE))</f>
        <v/>
      </c>
      <c r="BH80" t="str">
        <f ca="1">IF(AND(ISNUMBER($BH$279),$B$185=1),$BH$279,HLOOKUP(INDIRECT(ADDRESS(2,COLUMN())),OFFSET($BN$2,0,0,ROW()-1,60),ROW()-1,FALSE))</f>
        <v/>
      </c>
      <c r="BI80" t="str">
        <f ca="1">IF(AND(ISNUMBER($BI$279),$B$185=1),$BI$279,HLOOKUP(INDIRECT(ADDRESS(2,COLUMN())),OFFSET($BN$2,0,0,ROW()-1,60),ROW()-1,FALSE))</f>
        <v/>
      </c>
      <c r="BJ80" t="str">
        <f ca="1">IF(AND(ISNUMBER($BJ$279),$B$185=1),$BJ$279,HLOOKUP(INDIRECT(ADDRESS(2,COLUMN())),OFFSET($BN$2,0,0,ROW()-1,60),ROW()-1,FALSE))</f>
        <v/>
      </c>
      <c r="BK80" t="str">
        <f ca="1">IF(AND(ISNUMBER($BK$279),$B$185=1),$BK$279,HLOOKUP(INDIRECT(ADDRESS(2,COLUMN())),OFFSET($BN$2,0,0,ROW()-1,60),ROW()-1,FALSE))</f>
        <v/>
      </c>
      <c r="BL80" t="str">
        <f ca="1">IF(AND(ISNUMBER($BL$279),$B$185=1),$BL$279,HLOOKUP(INDIRECT(ADDRESS(2,COLUMN())),OFFSET($BN$2,0,0,ROW()-1,60),ROW()-1,FALSE))</f>
        <v/>
      </c>
      <c r="BM80" t="str">
        <f ca="1">IF(AND(ISNUMBER($BM$279),$B$185=1),$BM$279,HLOOKUP(INDIRECT(ADDRESS(2,COLUMN())),OFFSET($BN$2,0,0,ROW()-1,60),ROW()-1,FALSE))</f>
        <v/>
      </c>
      <c r="BN80" t="str">
        <f>""</f>
        <v/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  <c r="BT80" t="str">
        <f>""</f>
        <v/>
      </c>
      <c r="BU80" t="str">
        <f>""</f>
        <v/>
      </c>
      <c r="BV80" t="str">
        <f>""</f>
        <v/>
      </c>
      <c r="BW80" t="str">
        <f>""</f>
        <v/>
      </c>
      <c r="BX80" t="str">
        <f>""</f>
        <v/>
      </c>
      <c r="BY80" t="str">
        <f>""</f>
        <v/>
      </c>
      <c r="BZ80" t="str">
        <f>""</f>
        <v/>
      </c>
      <c r="CA80" t="str">
        <f>""</f>
        <v/>
      </c>
      <c r="CB80" t="str">
        <f>""</f>
        <v/>
      </c>
      <c r="CC80" t="str">
        <f>""</f>
        <v/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  <c r="CI80" t="str">
        <f>""</f>
        <v/>
      </c>
      <c r="CJ80" t="str">
        <f>""</f>
        <v/>
      </c>
      <c r="CK80" t="str">
        <f>""</f>
        <v/>
      </c>
      <c r="CL80" t="str">
        <f>""</f>
        <v/>
      </c>
      <c r="CM80" t="str">
        <f>""</f>
        <v/>
      </c>
      <c r="CN80" t="str">
        <f>""</f>
        <v/>
      </c>
      <c r="CO80" t="str">
        <f>""</f>
        <v/>
      </c>
      <c r="CP80" t="str">
        <f>""</f>
        <v/>
      </c>
      <c r="CQ80" t="str">
        <f>""</f>
        <v/>
      </c>
      <c r="CR80" t="str">
        <f>""</f>
        <v/>
      </c>
      <c r="CS80" t="str">
        <f>""</f>
        <v/>
      </c>
      <c r="CT80" t="str">
        <f>""</f>
        <v/>
      </c>
      <c r="CU80" t="str">
        <f>""</f>
        <v/>
      </c>
      <c r="CV80" t="str">
        <f>""</f>
        <v/>
      </c>
      <c r="CW80" t="str">
        <f>""</f>
        <v/>
      </c>
      <c r="CX80" t="str">
        <f>""</f>
        <v/>
      </c>
      <c r="CY80" t="str">
        <f>""</f>
        <v/>
      </c>
      <c r="CZ80" t="str">
        <f>""</f>
        <v/>
      </c>
      <c r="DA80" t="str">
        <f>""</f>
        <v/>
      </c>
      <c r="DB80" t="str">
        <f>""</f>
        <v/>
      </c>
      <c r="DC80" t="str">
        <f>""</f>
        <v/>
      </c>
      <c r="DD80" t="str">
        <f>""</f>
        <v/>
      </c>
      <c r="DE80" t="str">
        <f>""</f>
        <v/>
      </c>
      <c r="DF80" t="str">
        <f>""</f>
        <v/>
      </c>
      <c r="DG80" t="str">
        <f>""</f>
        <v/>
      </c>
      <c r="DH80" t="str">
        <f>""</f>
        <v/>
      </c>
      <c r="DI80" t="str">
        <f>""</f>
        <v/>
      </c>
      <c r="DJ80" t="str">
        <f>""</f>
        <v/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>
      <c r="A81" t="str">
        <f>"    Zions Bancorp NA"</f>
        <v xml:space="preserve">    Zions Bancorp NA</v>
      </c>
      <c r="B81" t="str">
        <f>"ZION US Equity"</f>
        <v>ZION US Equity</v>
      </c>
      <c r="C81" t="str">
        <f t="shared" si="7"/>
        <v>BS962</v>
      </c>
      <c r="D81" t="str">
        <f t="shared" si="8"/>
        <v>BS_RSD_MTG_SRVC_PORTFOLIO</v>
      </c>
      <c r="E81" t="str">
        <f t="shared" si="9"/>
        <v>Dynamic</v>
      </c>
      <c r="F81" t="str">
        <f ca="1">IF(AND(ISNUMBER($F$280),$B$185=1),$F$280,HLOOKUP(INDIRECT(ADDRESS(2,COLUMN())),OFFSET($BN$2,0,0,ROW()-1,60),ROW()-1,FALSE))</f>
        <v/>
      </c>
      <c r="G81" t="str">
        <f ca="1">IF(AND(ISNUMBER($G$280),$B$185=1),$G$280,HLOOKUP(INDIRECT(ADDRESS(2,COLUMN())),OFFSET($BN$2,0,0,ROW()-1,60),ROW()-1,FALSE))</f>
        <v/>
      </c>
      <c r="H81" t="str">
        <f ca="1">IF(AND(ISNUMBER($H$280),$B$185=1),$H$280,HLOOKUP(INDIRECT(ADDRESS(2,COLUMN())),OFFSET($BN$2,0,0,ROW()-1,60),ROW()-1,FALSE))</f>
        <v/>
      </c>
      <c r="I81" t="str">
        <f ca="1">IF(AND(ISNUMBER($I$280),$B$185=1),$I$280,HLOOKUP(INDIRECT(ADDRESS(2,COLUMN())),OFFSET($BN$2,0,0,ROW()-1,60),ROW()-1,FALSE))</f>
        <v/>
      </c>
      <c r="J81" t="str">
        <f ca="1">IF(AND(ISNUMBER($J$280),$B$185=1),$J$280,HLOOKUP(INDIRECT(ADDRESS(2,COLUMN())),OFFSET($BN$2,0,0,ROW()-1,60),ROW()-1,FALSE))</f>
        <v/>
      </c>
      <c r="K81" t="str">
        <f ca="1">IF(AND(ISNUMBER($K$280),$B$185=1),$K$280,HLOOKUP(INDIRECT(ADDRESS(2,COLUMN())),OFFSET($BN$2,0,0,ROW()-1,60),ROW()-1,FALSE))</f>
        <v/>
      </c>
      <c r="L81" t="str">
        <f ca="1">IF(AND(ISNUMBER($L$280),$B$185=1),$L$280,HLOOKUP(INDIRECT(ADDRESS(2,COLUMN())),OFFSET($BN$2,0,0,ROW()-1,60),ROW()-1,FALSE))</f>
        <v/>
      </c>
      <c r="M81" t="str">
        <f ca="1">IF(AND(ISNUMBER($M$280),$B$185=1),$M$280,HLOOKUP(INDIRECT(ADDRESS(2,COLUMN())),OFFSET($BN$2,0,0,ROW()-1,60),ROW()-1,FALSE))</f>
        <v/>
      </c>
      <c r="N81" t="str">
        <f ca="1">IF(AND(ISNUMBER($N$280),$B$185=1),$N$280,HLOOKUP(INDIRECT(ADDRESS(2,COLUMN())),OFFSET($BN$2,0,0,ROW()-1,60),ROW()-1,FALSE))</f>
        <v/>
      </c>
      <c r="O81" t="str">
        <f ca="1">IF(AND(ISNUMBER($O$280),$B$185=1),$O$280,HLOOKUP(INDIRECT(ADDRESS(2,COLUMN())),OFFSET($BN$2,0,0,ROW()-1,60),ROW()-1,FALSE))</f>
        <v/>
      </c>
      <c r="P81" t="str">
        <f ca="1">IF(AND(ISNUMBER($P$280),$B$185=1),$P$280,HLOOKUP(INDIRECT(ADDRESS(2,COLUMN())),OFFSET($BN$2,0,0,ROW()-1,60),ROW()-1,FALSE))</f>
        <v/>
      </c>
      <c r="Q81" t="str">
        <f ca="1">IF(AND(ISNUMBER($Q$280),$B$185=1),$Q$280,HLOOKUP(INDIRECT(ADDRESS(2,COLUMN())),OFFSET($BN$2,0,0,ROW()-1,60),ROW()-1,FALSE))</f>
        <v/>
      </c>
      <c r="R81" t="str">
        <f ca="1">IF(AND(ISNUMBER($R$280),$B$185=1),$R$280,HLOOKUP(INDIRECT(ADDRESS(2,COLUMN())),OFFSET($BN$2,0,0,ROW()-1,60),ROW()-1,FALSE))</f>
        <v/>
      </c>
      <c r="S81" t="str">
        <f ca="1">IF(AND(ISNUMBER($S$280),$B$185=1),$S$280,HLOOKUP(INDIRECT(ADDRESS(2,COLUMN())),OFFSET($BN$2,0,0,ROW()-1,60),ROW()-1,FALSE))</f>
        <v/>
      </c>
      <c r="T81" t="str">
        <f ca="1">IF(AND(ISNUMBER($T$280),$B$185=1),$T$280,HLOOKUP(INDIRECT(ADDRESS(2,COLUMN())),OFFSET($BN$2,0,0,ROW()-1,60),ROW()-1,FALSE))</f>
        <v/>
      </c>
      <c r="U81" t="str">
        <f ca="1">IF(AND(ISNUMBER($U$280),$B$185=1),$U$280,HLOOKUP(INDIRECT(ADDRESS(2,COLUMN())),OFFSET($BN$2,0,0,ROW()-1,60),ROW()-1,FALSE))</f>
        <v/>
      </c>
      <c r="V81" t="str">
        <f ca="1">IF(AND(ISNUMBER($V$280),$B$185=1),$V$280,HLOOKUP(INDIRECT(ADDRESS(2,COLUMN())),OFFSET($BN$2,0,0,ROW()-1,60),ROW()-1,FALSE))</f>
        <v/>
      </c>
      <c r="W81" t="str">
        <f ca="1">IF(AND(ISNUMBER($W$280),$B$185=1),$W$280,HLOOKUP(INDIRECT(ADDRESS(2,COLUMN())),OFFSET($BN$2,0,0,ROW()-1,60),ROW()-1,FALSE))</f>
        <v/>
      </c>
      <c r="X81" t="str">
        <f ca="1">IF(AND(ISNUMBER($X$280),$B$185=1),$X$280,HLOOKUP(INDIRECT(ADDRESS(2,COLUMN())),OFFSET($BN$2,0,0,ROW()-1,60),ROW()-1,FALSE))</f>
        <v/>
      </c>
      <c r="Y81" t="str">
        <f ca="1">IF(AND(ISNUMBER($Y$280),$B$185=1),$Y$280,HLOOKUP(INDIRECT(ADDRESS(2,COLUMN())),OFFSET($BN$2,0,0,ROW()-1,60),ROW()-1,FALSE))</f>
        <v/>
      </c>
      <c r="Z81" t="str">
        <f ca="1">IF(AND(ISNUMBER($Z$280),$B$185=1),$Z$280,HLOOKUP(INDIRECT(ADDRESS(2,COLUMN())),OFFSET($BN$2,0,0,ROW()-1,60),ROW()-1,FALSE))</f>
        <v/>
      </c>
      <c r="AA81" t="str">
        <f ca="1">IF(AND(ISNUMBER($AA$280),$B$185=1),$AA$280,HLOOKUP(INDIRECT(ADDRESS(2,COLUMN())),OFFSET($BN$2,0,0,ROW()-1,60),ROW()-1,FALSE))</f>
        <v/>
      </c>
      <c r="AB81" t="str">
        <f ca="1">IF(AND(ISNUMBER($AB$280),$B$185=1),$AB$280,HLOOKUP(INDIRECT(ADDRESS(2,COLUMN())),OFFSET($BN$2,0,0,ROW()-1,60),ROW()-1,FALSE))</f>
        <v/>
      </c>
      <c r="AC81" t="str">
        <f ca="1">IF(AND(ISNUMBER($AC$280),$B$185=1),$AC$280,HLOOKUP(INDIRECT(ADDRESS(2,COLUMN())),OFFSET($BN$2,0,0,ROW()-1,60),ROW()-1,FALSE))</f>
        <v/>
      </c>
      <c r="AD81" t="str">
        <f ca="1">IF(AND(ISNUMBER($AD$280),$B$185=1),$AD$280,HLOOKUP(INDIRECT(ADDRESS(2,COLUMN())),OFFSET($BN$2,0,0,ROW()-1,60),ROW()-1,FALSE))</f>
        <v/>
      </c>
      <c r="AE81" t="str">
        <f ca="1">IF(AND(ISNUMBER($AE$280),$B$185=1),$AE$280,HLOOKUP(INDIRECT(ADDRESS(2,COLUMN())),OFFSET($BN$2,0,0,ROW()-1,60),ROW()-1,FALSE))</f>
        <v/>
      </c>
      <c r="AF81" t="str">
        <f ca="1">IF(AND(ISNUMBER($AF$280),$B$185=1),$AF$280,HLOOKUP(INDIRECT(ADDRESS(2,COLUMN())),OFFSET($BN$2,0,0,ROW()-1,60),ROW()-1,FALSE))</f>
        <v/>
      </c>
      <c r="AG81" t="str">
        <f ca="1">IF(AND(ISNUMBER($AG$280),$B$185=1),$AG$280,HLOOKUP(INDIRECT(ADDRESS(2,COLUMN())),OFFSET($BN$2,0,0,ROW()-1,60),ROW()-1,FALSE))</f>
        <v/>
      </c>
      <c r="AH81" t="str">
        <f ca="1">IF(AND(ISNUMBER($AH$280),$B$185=1),$AH$280,HLOOKUP(INDIRECT(ADDRESS(2,COLUMN())),OFFSET($BN$2,0,0,ROW()-1,60),ROW()-1,FALSE))</f>
        <v/>
      </c>
      <c r="AI81" t="str">
        <f ca="1">IF(AND(ISNUMBER($AI$280),$B$185=1),$AI$280,HLOOKUP(INDIRECT(ADDRESS(2,COLUMN())),OFFSET($BN$2,0,0,ROW()-1,60),ROW()-1,FALSE))</f>
        <v/>
      </c>
      <c r="AJ81" t="str">
        <f ca="1">IF(AND(ISNUMBER($AJ$280),$B$185=1),$AJ$280,HLOOKUP(INDIRECT(ADDRESS(2,COLUMN())),OFFSET($BN$2,0,0,ROW()-1,60),ROW()-1,FALSE))</f>
        <v/>
      </c>
      <c r="AK81" t="str">
        <f ca="1">IF(AND(ISNUMBER($AK$280),$B$185=1),$AK$280,HLOOKUP(INDIRECT(ADDRESS(2,COLUMN())),OFFSET($BN$2,0,0,ROW()-1,60),ROW()-1,FALSE))</f>
        <v/>
      </c>
      <c r="AL81" t="str">
        <f ca="1">IF(AND(ISNUMBER($AL$280),$B$185=1),$AL$280,HLOOKUP(INDIRECT(ADDRESS(2,COLUMN())),OFFSET($BN$2,0,0,ROW()-1,60),ROW()-1,FALSE))</f>
        <v/>
      </c>
      <c r="AM81" t="str">
        <f ca="1">IF(AND(ISNUMBER($AM$280),$B$185=1),$AM$280,HLOOKUP(INDIRECT(ADDRESS(2,COLUMN())),OFFSET($BN$2,0,0,ROW()-1,60),ROW()-1,FALSE))</f>
        <v/>
      </c>
      <c r="AN81" t="str">
        <f ca="1">IF(AND(ISNUMBER($AN$280),$B$185=1),$AN$280,HLOOKUP(INDIRECT(ADDRESS(2,COLUMN())),OFFSET($BN$2,0,0,ROW()-1,60),ROW()-1,FALSE))</f>
        <v/>
      </c>
      <c r="AO81" t="str">
        <f ca="1">IF(AND(ISNUMBER($AO$280),$B$185=1),$AO$280,HLOOKUP(INDIRECT(ADDRESS(2,COLUMN())),OFFSET($BN$2,0,0,ROW()-1,60),ROW()-1,FALSE))</f>
        <v/>
      </c>
      <c r="AP81" t="str">
        <f ca="1">IF(AND(ISNUMBER($AP$280),$B$185=1),$AP$280,HLOOKUP(INDIRECT(ADDRESS(2,COLUMN())),OFFSET($BN$2,0,0,ROW()-1,60),ROW()-1,FALSE))</f>
        <v/>
      </c>
      <c r="AQ81" t="str">
        <f ca="1">IF(AND(ISNUMBER($AQ$280),$B$185=1),$AQ$280,HLOOKUP(INDIRECT(ADDRESS(2,COLUMN())),OFFSET($BN$2,0,0,ROW()-1,60),ROW()-1,FALSE))</f>
        <v/>
      </c>
      <c r="AR81" t="str">
        <f ca="1">IF(AND(ISNUMBER($AR$280),$B$185=1),$AR$280,HLOOKUP(INDIRECT(ADDRESS(2,COLUMN())),OFFSET($BN$2,0,0,ROW()-1,60),ROW()-1,FALSE))</f>
        <v/>
      </c>
      <c r="AS81" t="str">
        <f ca="1">IF(AND(ISNUMBER($AS$280),$B$185=1),$AS$280,HLOOKUP(INDIRECT(ADDRESS(2,COLUMN())),OFFSET($BN$2,0,0,ROW()-1,60),ROW()-1,FALSE))</f>
        <v/>
      </c>
      <c r="AT81" t="str">
        <f ca="1">IF(AND(ISNUMBER($AT$280),$B$185=1),$AT$280,HLOOKUP(INDIRECT(ADDRESS(2,COLUMN())),OFFSET($BN$2,0,0,ROW()-1,60),ROW()-1,FALSE))</f>
        <v/>
      </c>
      <c r="AU81" t="str">
        <f ca="1">IF(AND(ISNUMBER($AU$280),$B$185=1),$AU$280,HLOOKUP(INDIRECT(ADDRESS(2,COLUMN())),OFFSET($BN$2,0,0,ROW()-1,60),ROW()-1,FALSE))</f>
        <v/>
      </c>
      <c r="AV81" t="str">
        <f ca="1">IF(AND(ISNUMBER($AV$280),$B$185=1),$AV$280,HLOOKUP(INDIRECT(ADDRESS(2,COLUMN())),OFFSET($BN$2,0,0,ROW()-1,60),ROW()-1,FALSE))</f>
        <v/>
      </c>
      <c r="AW81" t="str">
        <f ca="1">IF(AND(ISNUMBER($AW$280),$B$185=1),$AW$280,HLOOKUP(INDIRECT(ADDRESS(2,COLUMN())),OFFSET($BN$2,0,0,ROW()-1,60),ROW()-1,FALSE))</f>
        <v/>
      </c>
      <c r="AX81" t="str">
        <f ca="1">IF(AND(ISNUMBER($AX$280),$B$185=1),$AX$280,HLOOKUP(INDIRECT(ADDRESS(2,COLUMN())),OFFSET($BN$2,0,0,ROW()-1,60),ROW()-1,FALSE))</f>
        <v/>
      </c>
      <c r="AY81" t="str">
        <f ca="1">IF(AND(ISNUMBER($AY$280),$B$185=1),$AY$280,HLOOKUP(INDIRECT(ADDRESS(2,COLUMN())),OFFSET($BN$2,0,0,ROW()-1,60),ROW()-1,FALSE))</f>
        <v/>
      </c>
      <c r="AZ81" t="str">
        <f ca="1">IF(AND(ISNUMBER($AZ$280),$B$185=1),$AZ$280,HLOOKUP(INDIRECT(ADDRESS(2,COLUMN())),OFFSET($BN$2,0,0,ROW()-1,60),ROW()-1,FALSE))</f>
        <v/>
      </c>
      <c r="BA81" t="str">
        <f ca="1">IF(AND(ISNUMBER($BA$280),$B$185=1),$BA$280,HLOOKUP(INDIRECT(ADDRESS(2,COLUMN())),OFFSET($BN$2,0,0,ROW()-1,60),ROW()-1,FALSE))</f>
        <v/>
      </c>
      <c r="BB81" t="str">
        <f ca="1">IF(AND(ISNUMBER($BB$280),$B$185=1),$BB$280,HLOOKUP(INDIRECT(ADDRESS(2,COLUMN())),OFFSET($BN$2,0,0,ROW()-1,60),ROW()-1,FALSE))</f>
        <v/>
      </c>
      <c r="BC81" t="str">
        <f ca="1">IF(AND(ISNUMBER($BC$280),$B$185=1),$BC$280,HLOOKUP(INDIRECT(ADDRESS(2,COLUMN())),OFFSET($BN$2,0,0,ROW()-1,60),ROW()-1,FALSE))</f>
        <v/>
      </c>
      <c r="BD81" t="str">
        <f ca="1">IF(AND(ISNUMBER($BD$280),$B$185=1),$BD$280,HLOOKUP(INDIRECT(ADDRESS(2,COLUMN())),OFFSET($BN$2,0,0,ROW()-1,60),ROW()-1,FALSE))</f>
        <v/>
      </c>
      <c r="BE81" t="str">
        <f ca="1">IF(AND(ISNUMBER($BE$280),$B$185=1),$BE$280,HLOOKUP(INDIRECT(ADDRESS(2,COLUMN())),OFFSET($BN$2,0,0,ROW()-1,60),ROW()-1,FALSE))</f>
        <v/>
      </c>
      <c r="BF81" t="str">
        <f ca="1">IF(AND(ISNUMBER($BF$280),$B$185=1),$BF$280,HLOOKUP(INDIRECT(ADDRESS(2,COLUMN())),OFFSET($BN$2,0,0,ROW()-1,60),ROW()-1,FALSE))</f>
        <v/>
      </c>
      <c r="BG81" t="str">
        <f ca="1">IF(AND(ISNUMBER($BG$280),$B$185=1),$BG$280,HLOOKUP(INDIRECT(ADDRESS(2,COLUMN())),OFFSET($BN$2,0,0,ROW()-1,60),ROW()-1,FALSE))</f>
        <v/>
      </c>
      <c r="BH81" t="str">
        <f ca="1">IF(AND(ISNUMBER($BH$280),$B$185=1),$BH$280,HLOOKUP(INDIRECT(ADDRESS(2,COLUMN())),OFFSET($BN$2,0,0,ROW()-1,60),ROW()-1,FALSE))</f>
        <v/>
      </c>
      <c r="BI81" t="str">
        <f ca="1">IF(AND(ISNUMBER($BI$280),$B$185=1),$BI$280,HLOOKUP(INDIRECT(ADDRESS(2,COLUMN())),OFFSET($BN$2,0,0,ROW()-1,60),ROW()-1,FALSE))</f>
        <v/>
      </c>
      <c r="BJ81" t="str">
        <f ca="1">IF(AND(ISNUMBER($BJ$280),$B$185=1),$BJ$280,HLOOKUP(INDIRECT(ADDRESS(2,COLUMN())),OFFSET($BN$2,0,0,ROW()-1,60),ROW()-1,FALSE))</f>
        <v/>
      </c>
      <c r="BK81" t="str">
        <f ca="1">IF(AND(ISNUMBER($BK$280),$B$185=1),$BK$280,HLOOKUP(INDIRECT(ADDRESS(2,COLUMN())),OFFSET($BN$2,0,0,ROW()-1,60),ROW()-1,FALSE))</f>
        <v/>
      </c>
      <c r="BL81" t="str">
        <f ca="1">IF(AND(ISNUMBER($BL$280),$B$185=1),$BL$280,HLOOKUP(INDIRECT(ADDRESS(2,COLUMN())),OFFSET($BN$2,0,0,ROW()-1,60),ROW()-1,FALSE))</f>
        <v/>
      </c>
      <c r="BM81" t="str">
        <f ca="1">IF(AND(ISNUMBER($BM$280),$B$185=1),$BM$280,HLOOKUP(INDIRECT(ADDRESS(2,COLUMN())),OFFSET($BN$2,0,0,ROW()-1,60),ROW()-1,FALSE))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>
      <c r="A82" t="str">
        <f>"Residential Mortgage Owned Serviced Portfolio"</f>
        <v>Residential Mortgage Owned Serviced Portfolio</v>
      </c>
      <c r="B82" t="str">
        <f>""</f>
        <v/>
      </c>
      <c r="E82" t="str">
        <f>"Sum"</f>
        <v>Sum</v>
      </c>
      <c r="F82">
        <f ca="1">IF(ISERROR(IF(SUM($F$83:$F$103) = 0, "", SUM($F$83:$F$103))), "", (IF(SUM($F$83:$F$103) = 0, "", SUM($F$83:$F$103))))</f>
        <v>417837</v>
      </c>
      <c r="G82">
        <f ca="1">IF(ISERROR(IF(SUM($G$83:$G$103) = 0, "", SUM($G$83:$G$103))), "", (IF(SUM($G$83:$G$103) = 0, "", SUM($G$83:$G$103))))</f>
        <v>420681</v>
      </c>
      <c r="H82">
        <f ca="1">IF(ISERROR(IF(SUM($H$83:$H$103) = 0, "", SUM($H$83:$H$103))), "", (IF(SUM($H$83:$H$103) = 0, "", SUM($H$83:$H$103))))</f>
        <v>424603</v>
      </c>
      <c r="I82">
        <f ca="1">IF(ISERROR(IF(SUM($I$83:$I$103) = 0, "", SUM($I$83:$I$103))), "", (IF(SUM($I$83:$I$103) = 0, "", SUM($I$83:$I$103))))</f>
        <v>429955</v>
      </c>
      <c r="J82">
        <f ca="1">IF(ISERROR(IF(SUM($J$83:$J$103) = 0, "", SUM($J$83:$J$103))), "", (IF(SUM($J$83:$J$103) = 0, "", SUM($J$83:$J$103))))</f>
        <v>434669</v>
      </c>
      <c r="K82">
        <f ca="1">IF(ISERROR(IF(SUM($K$83:$K$103) = 0, "", SUM($K$83:$K$103))), "", (IF(SUM($K$83:$K$103) = 0, "", SUM($K$83:$K$103))))</f>
        <v>440179</v>
      </c>
      <c r="L82">
        <f ca="1">IF(ISERROR(IF(SUM($L$83:$L$103) = 0, "", SUM($L$83:$L$103))), "", (IF(SUM($L$83:$L$103) = 0, "", SUM($L$83:$L$103))))</f>
        <v>443847</v>
      </c>
      <c r="M82">
        <f ca="1">IF(ISERROR(IF(SUM($M$83:$M$103) = 0, "", SUM($M$83:$M$103))), "", (IF(SUM($M$83:$M$103) = 0, "", SUM($M$83:$M$103))))</f>
        <v>447893</v>
      </c>
      <c r="N82">
        <f ca="1">IF(ISERROR(IF(SUM($N$83:$N$103) = 0, "", SUM($N$83:$N$103))), "", (IF(SUM($N$83:$N$103) = 0, "", SUM($N$83:$N$103))))</f>
        <v>450182</v>
      </c>
      <c r="O82">
        <f ca="1">IF(ISERROR(IF(SUM($O$83:$O$103) = 0, "", SUM($O$83:$O$103))), "", (IF(SUM($O$83:$O$103) = 0, "", SUM($O$83:$O$103))))</f>
        <v>451086</v>
      </c>
      <c r="P82">
        <f ca="1">IF(ISERROR(IF(SUM($P$83:$P$103) = 0, "", SUM($P$83:$P$103))), "", (IF(SUM($P$83:$P$103) = 0, "", SUM($P$83:$P$103))))</f>
        <v>445541</v>
      </c>
      <c r="Q82">
        <f ca="1">IF(ISERROR(IF(SUM($Q$83:$Q$103) = 0, "", SUM($Q$83:$Q$103))), "", (IF(SUM($Q$83:$Q$103) = 0, "", SUM($Q$83:$Q$103))))</f>
        <v>438427</v>
      </c>
      <c r="R82">
        <f ca="1">IF(ISERROR(IF(SUM($R$83:$R$103) = 0, "", SUM($R$83:$R$103))), "", (IF(SUM($R$83:$R$103) = 0, "", SUM($R$83:$R$103))))</f>
        <v>433516</v>
      </c>
      <c r="S82">
        <f ca="1">IF(ISERROR(IF(SUM($S$83:$S$103) = 0, "", SUM($S$83:$S$103))), "", (IF(SUM($S$83:$S$103) = 0, "", SUM($S$83:$S$103))))</f>
        <v>345227</v>
      </c>
      <c r="T82">
        <f ca="1">IF(ISERROR(IF(SUM($T$83:$T$103) = 0, "", SUM($T$83:$T$103))), "", (IF(SUM($T$83:$T$103) = 0, "", SUM($T$83:$T$103))))</f>
        <v>330052.5</v>
      </c>
      <c r="U82">
        <f ca="1">IF(ISERROR(IF(SUM($U$83:$U$103) = 0, "", SUM($U$83:$U$103))), "", (IF(SUM($U$83:$U$103) = 0, "", SUM($U$83:$U$103))))</f>
        <v>437500</v>
      </c>
      <c r="V82">
        <f ca="1">IF(ISERROR(IF(SUM($V$83:$V$103) = 0, "", SUM($V$83:$V$103))), "", (IF(SUM($V$83:$V$103) = 0, "", SUM($V$83:$V$103))))</f>
        <v>460293</v>
      </c>
      <c r="W82">
        <f ca="1">IF(ISERROR(IF(SUM($W$83:$W$103) = 0, "", SUM($W$83:$W$103))), "", (IF(SUM($W$83:$W$103) = 0, "", SUM($W$83:$W$103))))</f>
        <v>414487</v>
      </c>
      <c r="X82">
        <f ca="1">IF(ISERROR(IF(SUM($X$83:$X$103) = 0, "", SUM($X$83:$X$103))), "", (IF(SUM($X$83:$X$103) = 0, "", SUM($X$83:$X$103))))</f>
        <v>407965</v>
      </c>
      <c r="Y82">
        <f ca="1">IF(ISERROR(IF(SUM($Y$83:$Y$103) = 0, "", SUM($Y$83:$Y$103))), "", (IF(SUM($Y$83:$Y$103) = 0, "", SUM($Y$83:$Y$103))))</f>
        <v>397325</v>
      </c>
      <c r="Z82">
        <f ca="1">IF(ISERROR(IF(SUM($Z$83:$Z$103) = 0, "", SUM($Z$83:$Z$103))), "", (IF(SUM($Z$83:$Z$103) = 0, "", SUM($Z$83:$Z$103))))</f>
        <v>420877</v>
      </c>
      <c r="AA82">
        <f ca="1">IF(ISERROR(IF(SUM($AA$83:$AA$103) = 0, "", SUM($AA$83:$AA$103))), "", (IF(SUM($AA$83:$AA$103) = 0, "", SUM($AA$83:$AA$103))))</f>
        <v>474560</v>
      </c>
      <c r="AB82">
        <f ca="1">IF(ISERROR(IF(SUM($AB$83:$AB$103) = 0, "", SUM($AB$83:$AB$103))), "", (IF(SUM($AB$83:$AB$103) = 0, "", SUM($AB$83:$AB$103))))</f>
        <v>559852</v>
      </c>
      <c r="AC82">
        <f ca="1">IF(ISERROR(IF(SUM($AC$83:$AC$103) = 0, "", SUM($AC$83:$AC$103))), "", (IF(SUM($AC$83:$AC$103) = 0, "", SUM($AC$83:$AC$103))))</f>
        <v>362861</v>
      </c>
      <c r="AD82">
        <f ca="1">IF(ISERROR(IF(SUM($AD$83:$AD$103) = 0, "", SUM($AD$83:$AD$103))), "", (IF(SUM($AD$83:$AD$103) = 0, "", SUM($AD$83:$AD$103))))</f>
        <v>47715</v>
      </c>
      <c r="AE82">
        <f ca="1">IF(ISERROR(IF(SUM($AE$83:$AE$103) = 0, "", SUM($AE$83:$AE$103))), "", (IF(SUM($AE$83:$AE$103) = 0, "", SUM($AE$83:$AE$103))))</f>
        <v>384237</v>
      </c>
      <c r="AF82">
        <f ca="1">IF(ISERROR(IF(SUM($AF$83:$AF$103) = 0, "", SUM($AF$83:$AF$103))), "", (IF(SUM($AF$83:$AF$103) = 0, "", SUM($AF$83:$AF$103))))</f>
        <v>386561</v>
      </c>
      <c r="AG82">
        <f ca="1">IF(ISERROR(IF(SUM($AG$83:$AG$103) = 0, "", SUM($AG$83:$AG$103))), "", (IF(SUM($AG$83:$AG$103) = 0, "", SUM($AG$83:$AG$103))))</f>
        <v>366081</v>
      </c>
      <c r="AH82">
        <f ca="1">IF(ISERROR(IF(SUM($AH$83:$AH$103) = 0, "", SUM($AH$83:$AH$103))), "", (IF(SUM($AH$83:$AH$103) = 0, "", SUM($AH$83:$AH$103))))</f>
        <v>387379</v>
      </c>
      <c r="AI82">
        <f ca="1">IF(ISERROR(IF(SUM($AI$83:$AI$103) = 0, "", SUM($AI$83:$AI$103))), "", (IF(SUM($AI$83:$AI$103) = 0, "", SUM($AI$83:$AI$103))))</f>
        <v>385645</v>
      </c>
      <c r="AJ82">
        <f ca="1">IF(ISERROR(IF(SUM($AJ$83:$AJ$103) = 0, "", SUM($AJ$83:$AJ$103))), "", (IF(SUM($AJ$83:$AJ$103) = 0, "", SUM($AJ$83:$AJ$103))))</f>
        <v>389267</v>
      </c>
      <c r="AK82">
        <f ca="1">IF(ISERROR(IF(SUM($AK$83:$AK$103) = 0, "", SUM($AK$83:$AK$103))), "", (IF(SUM($AK$83:$AK$103) = 0, "", SUM($AK$83:$AK$103))))</f>
        <v>365396</v>
      </c>
      <c r="AL82">
        <f ca="1">IF(ISERROR(IF(SUM($AL$83:$AL$103) = 0, "", SUM($AL$83:$AL$103))), "", (IF(SUM($AL$83:$AL$103) = 0, "", SUM($AL$83:$AL$103))))</f>
        <v>394060</v>
      </c>
      <c r="AM82">
        <f ca="1">IF(ISERROR(IF(SUM($AM$83:$AM$103) = 0, "", SUM($AM$83:$AM$103))), "", (IF(SUM($AM$83:$AM$103) = 0, "", SUM($AM$83:$AM$103))))</f>
        <v>399903</v>
      </c>
      <c r="AN82">
        <f ca="1">IF(ISERROR(IF(SUM($AN$83:$AN$103) = 0, "", SUM($AN$83:$AN$103))), "", (IF(SUM($AN$83:$AN$103) = 0, "", SUM($AN$83:$AN$103))))</f>
        <v>396747</v>
      </c>
      <c r="AO82">
        <f ca="1">IF(ISERROR(IF(SUM($AO$83:$AO$103) = 0, "", SUM($AO$83:$AO$103))), "", (IF(SUM($AO$83:$AO$103) = 0, "", SUM($AO$83:$AO$103))))</f>
        <v>387462</v>
      </c>
      <c r="AP82">
        <f ca="1">IF(ISERROR(IF(SUM($AP$83:$AP$103) = 0, "", SUM($AP$83:$AP$103))), "", (IF(SUM($AP$83:$AP$103) = 0, "", SUM($AP$83:$AP$103))))</f>
        <v>390437</v>
      </c>
      <c r="AQ82">
        <f ca="1">IF(ISERROR(IF(SUM($AQ$83:$AQ$103) = 0, "", SUM($AQ$83:$AQ$103))), "", (IF(SUM($AQ$83:$AQ$103) = 0, "", SUM($AQ$83:$AQ$103))))</f>
        <v>392334</v>
      </c>
      <c r="AR82">
        <f ca="1">IF(ISERROR(IF(SUM($AR$83:$AR$103) = 0, "", SUM($AR$83:$AR$103))), "", (IF(SUM($AR$83:$AR$103) = 0, "", SUM($AR$83:$AR$103))))</f>
        <v>392002</v>
      </c>
      <c r="AS82">
        <f ca="1">IF(ISERROR(IF(SUM($AS$83:$AS$103) = 0, "", SUM($AS$83:$AS$103))), "", (IF(SUM($AS$83:$AS$103) = 0, "", SUM($AS$83:$AS$103))))</f>
        <v>375900.2</v>
      </c>
      <c r="AT82">
        <f ca="1">IF(ISERROR(IF(SUM($AT$83:$AT$103) = 0, "", SUM($AT$83:$AT$103))), "", (IF(SUM($AT$83:$AT$103) = 0, "", SUM($AT$83:$AT$103))))</f>
        <v>453027</v>
      </c>
      <c r="AU82">
        <f ca="1">IF(ISERROR(IF(SUM($AU$83:$AU$103) = 0, "", SUM($AU$83:$AU$103))), "", (IF(SUM($AU$83:$AU$103) = 0, "", SUM($AU$83:$AU$103))))</f>
        <v>375490</v>
      </c>
      <c r="AV82">
        <f ca="1">IF(ISERROR(IF(SUM($AV$83:$AV$103) = 0, "", SUM($AV$83:$AV$103))), "", (IF(SUM($AV$83:$AV$103) = 0, "", SUM($AV$83:$AV$103))))</f>
        <v>388354</v>
      </c>
      <c r="AW82">
        <f ca="1">IF(ISERROR(IF(SUM($AW$83:$AW$103) = 0, "", SUM($AW$83:$AW$103))), "", (IF(SUM($AW$83:$AW$103) = 0, "", SUM($AW$83:$AW$103))))</f>
        <v>384003</v>
      </c>
      <c r="AX82">
        <f ca="1">IF(ISERROR(IF(SUM($AX$83:$AX$103) = 0, "", SUM($AX$83:$AX$103))), "", (IF(SUM($AX$83:$AX$103) = 0, "", SUM($AX$83:$AX$103))))</f>
        <v>376901</v>
      </c>
      <c r="AY82">
        <f ca="1">IF(ISERROR(IF(SUM($AY$83:$AY$103) = 0, "", SUM($AY$83:$AY$103))), "", (IF(SUM($AY$83:$AY$103) = 0, "", SUM($AY$83:$AY$103))))</f>
        <v>382382</v>
      </c>
      <c r="AZ82">
        <f ca="1">IF(ISERROR(IF(SUM($AZ$83:$AZ$103) = 0, "", SUM($AZ$83:$AZ$103))), "", (IF(SUM($AZ$83:$AZ$103) = 0, "", SUM($AZ$83:$AZ$103))))</f>
        <v>395811</v>
      </c>
      <c r="BA82">
        <f ca="1">IF(ISERROR(IF(SUM($BA$83:$BA$103) = 0, "", SUM($BA$83:$BA$103))), "", (IF(SUM($BA$83:$BA$103) = 0, "", SUM($BA$83:$BA$103))))</f>
        <v>408662</v>
      </c>
      <c r="BB82">
        <f ca="1">IF(ISERROR(IF(SUM($BB$83:$BB$103) = 0, "", SUM($BB$83:$BB$103))), "", (IF(SUM($BB$83:$BB$103) = 0, "", SUM($BB$83:$BB$103))))</f>
        <v>410301</v>
      </c>
      <c r="BC82">
        <f ca="1">IF(ISERROR(IF(SUM($BC$83:$BC$103) = 0, "", SUM($BC$83:$BC$103))), "", (IF(SUM($BC$83:$BC$103) = 0, "", SUM($BC$83:$BC$103))))</f>
        <v>402894</v>
      </c>
      <c r="BD82">
        <f ca="1">IF(ISERROR(IF(SUM($BD$83:$BD$103) = 0, "", SUM($BD$83:$BD$103))), "", (IF(SUM($BD$83:$BD$103) = 0, "", SUM($BD$83:$BD$103))))</f>
        <v>394871</v>
      </c>
      <c r="BE82">
        <f ca="1">IF(ISERROR(IF(SUM($BE$83:$BE$103) = 0, "", SUM($BE$83:$BE$103))), "", (IF(SUM($BE$83:$BE$103) = 0, "", SUM($BE$83:$BE$103))))</f>
        <v>386808</v>
      </c>
      <c r="BF82">
        <f ca="1">IF(ISERROR(IF(SUM($BF$83:$BF$103) = 0, "", SUM($BF$83:$BF$103))), "", (IF(SUM($BF$83:$BF$103) = 0, "", SUM($BF$83:$BF$103))))</f>
        <v>423474</v>
      </c>
      <c r="BG82">
        <f ca="1">IF(ISERROR(IF(SUM($BG$83:$BG$103) = 0, "", SUM($BG$83:$BG$103))), "", (IF(SUM($BG$83:$BG$103) = 0, "", SUM($BG$83:$BG$103))))</f>
        <v>383313</v>
      </c>
      <c r="BH82">
        <f ca="1">IF(ISERROR(IF(SUM($BH$83:$BH$103) = 0, "", SUM($BH$83:$BH$103))), "", (IF(SUM($BH$83:$BH$103) = 0, "", SUM($BH$83:$BH$103))))</f>
        <v>369756</v>
      </c>
      <c r="BI82">
        <f ca="1">IF(ISERROR(IF(SUM($BI$83:$BI$103) = 0, "", SUM($BI$83:$BI$103))), "", (IF(SUM($BI$83:$BI$103) = 0, "", SUM($BI$83:$BI$103))))</f>
        <v>377871</v>
      </c>
      <c r="BJ82">
        <f ca="1">IF(ISERROR(IF(SUM($BJ$83:$BJ$103) = 0, "", SUM($BJ$83:$BJ$103))), "", (IF(SUM($BJ$83:$BJ$103) = 0, "", SUM($BJ$83:$BJ$103))))</f>
        <v>431380</v>
      </c>
      <c r="BK82">
        <f ca="1">IF(ISERROR(IF(SUM($BK$83:$BK$103) = 0, "", SUM($BK$83:$BK$103))), "", (IF(SUM($BK$83:$BK$103) = 0, "", SUM($BK$83:$BK$103))))</f>
        <v>395331</v>
      </c>
      <c r="BL82">
        <f ca="1">IF(ISERROR(IF(SUM($BL$83:$BL$103) = 0, "", SUM($BL$83:$BL$103))), "", (IF(SUM($BL$83:$BL$103) = 0, "", SUM($BL$83:$BL$103))))</f>
        <v>393321</v>
      </c>
      <c r="BM82" t="str">
        <f ca="1">IF(ISERROR(IF(SUM($BM$83:$BM$103) = 0, "", SUM($BM$83:$BM$103))), "", (IF(SUM($BM$83:$BM$103) = 0, "", SUM($BM$83:$BM$103))))</f>
        <v/>
      </c>
      <c r="BN82">
        <f>417837</f>
        <v>417837</v>
      </c>
      <c r="BO82">
        <f>420681</f>
        <v>420681</v>
      </c>
      <c r="BP82">
        <f>424603</f>
        <v>424603</v>
      </c>
      <c r="BQ82">
        <f>429955</f>
        <v>429955</v>
      </c>
      <c r="BR82">
        <f>434669</f>
        <v>434669</v>
      </c>
      <c r="BS82">
        <f>440179</f>
        <v>440179</v>
      </c>
      <c r="BT82">
        <f>443847</f>
        <v>443847</v>
      </c>
      <c r="BU82">
        <f>447893</f>
        <v>447893</v>
      </c>
      <c r="BV82">
        <f>450182</f>
        <v>450182</v>
      </c>
      <c r="BW82">
        <f>451086</f>
        <v>451086</v>
      </c>
      <c r="BX82">
        <f>445541</f>
        <v>445541</v>
      </c>
      <c r="BY82">
        <f>438427</f>
        <v>438427</v>
      </c>
      <c r="BZ82">
        <f>433516</f>
        <v>433516</v>
      </c>
      <c r="CA82">
        <f>345227</f>
        <v>345227</v>
      </c>
      <c r="CB82">
        <f>330052.5</f>
        <v>330052.5</v>
      </c>
      <c r="CC82">
        <f>437500</f>
        <v>437500</v>
      </c>
      <c r="CD82">
        <f>460293</f>
        <v>460293</v>
      </c>
      <c r="CE82">
        <f>414487</f>
        <v>414487</v>
      </c>
      <c r="CF82">
        <f>407965</f>
        <v>407965</v>
      </c>
      <c r="CG82">
        <f>397325</f>
        <v>397325</v>
      </c>
      <c r="CH82">
        <f>420877</f>
        <v>420877</v>
      </c>
      <c r="CI82">
        <f>474560</f>
        <v>474560</v>
      </c>
      <c r="CJ82">
        <f>559852</f>
        <v>559852</v>
      </c>
      <c r="CK82">
        <f>362861</f>
        <v>362861</v>
      </c>
      <c r="CL82">
        <f>47715</f>
        <v>47715</v>
      </c>
      <c r="CM82">
        <f>384237</f>
        <v>384237</v>
      </c>
      <c r="CN82">
        <f>386561</f>
        <v>386561</v>
      </c>
      <c r="CO82">
        <f>366081</f>
        <v>366081</v>
      </c>
      <c r="CP82">
        <f>387379</f>
        <v>387379</v>
      </c>
      <c r="CQ82">
        <f>385645</f>
        <v>385645</v>
      </c>
      <c r="CR82">
        <f>389267</f>
        <v>389267</v>
      </c>
      <c r="CS82">
        <f>365396</f>
        <v>365396</v>
      </c>
      <c r="CT82">
        <f>394060</f>
        <v>394060</v>
      </c>
      <c r="CU82">
        <f>399903</f>
        <v>399903</v>
      </c>
      <c r="CV82">
        <f>396747</f>
        <v>396747</v>
      </c>
      <c r="CW82">
        <f>387462</f>
        <v>387462</v>
      </c>
      <c r="CX82">
        <f>390437</f>
        <v>390437</v>
      </c>
      <c r="CY82">
        <f>392334</f>
        <v>392334</v>
      </c>
      <c r="CZ82">
        <f>392002</f>
        <v>392002</v>
      </c>
      <c r="DA82">
        <f>375900.2</f>
        <v>375900.2</v>
      </c>
      <c r="DB82">
        <f>453027</f>
        <v>453027</v>
      </c>
      <c r="DC82">
        <f>375490</f>
        <v>375490</v>
      </c>
      <c r="DD82">
        <f>388354</f>
        <v>388354</v>
      </c>
      <c r="DE82">
        <f>384003</f>
        <v>384003</v>
      </c>
      <c r="DF82">
        <f>376901</f>
        <v>376901</v>
      </c>
      <c r="DG82">
        <f>382382</f>
        <v>382382</v>
      </c>
      <c r="DH82">
        <f>395811</f>
        <v>395811</v>
      </c>
      <c r="DI82">
        <f>408662</f>
        <v>408662</v>
      </c>
      <c r="DJ82">
        <f>410301</f>
        <v>410301</v>
      </c>
      <c r="DK82">
        <f>402894</f>
        <v>402894</v>
      </c>
      <c r="DL82">
        <f>394871</f>
        <v>394871</v>
      </c>
      <c r="DM82">
        <f>386808</f>
        <v>386808</v>
      </c>
      <c r="DN82">
        <f>423474</f>
        <v>423474</v>
      </c>
      <c r="DO82">
        <f>383313</f>
        <v>383313</v>
      </c>
      <c r="DP82">
        <f>369756</f>
        <v>369756</v>
      </c>
      <c r="DQ82">
        <f>377871</f>
        <v>377871</v>
      </c>
      <c r="DR82">
        <f>431380</f>
        <v>431380</v>
      </c>
      <c r="DS82">
        <f>395331</f>
        <v>395331</v>
      </c>
      <c r="DT82">
        <f>393321</f>
        <v>393321</v>
      </c>
      <c r="DU82" t="str">
        <f>""</f>
        <v/>
      </c>
    </row>
    <row r="83" spans="1:125">
      <c r="A83" t="str">
        <f>"    Bank OZK"</f>
        <v xml:space="preserve">    Bank OZK</v>
      </c>
      <c r="B83" t="str">
        <f>"OZK US Equity"</f>
        <v>OZK US Equity</v>
      </c>
      <c r="C83" t="str">
        <f t="shared" ref="C83:C103" si="10">"BS961"</f>
        <v>BS961</v>
      </c>
      <c r="D83" t="str">
        <f t="shared" ref="D83:D103" si="11">"BS_RES_MTG_OWNED_SERVICED_PORT"</f>
        <v>BS_RES_MTG_OWNED_SERVICED_PORT</v>
      </c>
      <c r="E83" t="str">
        <f t="shared" ref="E83:E103" si="12">"Dynamic"</f>
        <v>Dynamic</v>
      </c>
      <c r="F83" t="str">
        <f ca="1">IF(AND(ISNUMBER($F$281),$B$185=1),$F$281,HLOOKUP(INDIRECT(ADDRESS(2,COLUMN())),OFFSET($BN$2,0,0,ROW()-1,60),ROW()-1,FALSE))</f>
        <v/>
      </c>
      <c r="G83" t="str">
        <f ca="1">IF(AND(ISNUMBER($G$281),$B$185=1),$G$281,HLOOKUP(INDIRECT(ADDRESS(2,COLUMN())),OFFSET($BN$2,0,0,ROW()-1,60),ROW()-1,FALSE))</f>
        <v/>
      </c>
      <c r="H83" t="str">
        <f ca="1">IF(AND(ISNUMBER($H$281),$B$185=1),$H$281,HLOOKUP(INDIRECT(ADDRESS(2,COLUMN())),OFFSET($BN$2,0,0,ROW()-1,60),ROW()-1,FALSE))</f>
        <v/>
      </c>
      <c r="I83" t="str">
        <f ca="1">IF(AND(ISNUMBER($I$281),$B$185=1),$I$281,HLOOKUP(INDIRECT(ADDRESS(2,COLUMN())),OFFSET($BN$2,0,0,ROW()-1,60),ROW()-1,FALSE))</f>
        <v/>
      </c>
      <c r="J83" t="str">
        <f ca="1">IF(AND(ISNUMBER($J$281),$B$185=1),$J$281,HLOOKUP(INDIRECT(ADDRESS(2,COLUMN())),OFFSET($BN$2,0,0,ROW()-1,60),ROW()-1,FALSE))</f>
        <v/>
      </c>
      <c r="K83" t="str">
        <f ca="1">IF(AND(ISNUMBER($K$281),$B$185=1),$K$281,HLOOKUP(INDIRECT(ADDRESS(2,COLUMN())),OFFSET($BN$2,0,0,ROW()-1,60),ROW()-1,FALSE))</f>
        <v/>
      </c>
      <c r="L83" t="str">
        <f ca="1">IF(AND(ISNUMBER($L$281),$B$185=1),$L$281,HLOOKUP(INDIRECT(ADDRESS(2,COLUMN())),OFFSET($BN$2,0,0,ROW()-1,60),ROW()-1,FALSE))</f>
        <v/>
      </c>
      <c r="M83" t="str">
        <f ca="1">IF(AND(ISNUMBER($M$281),$B$185=1),$M$281,HLOOKUP(INDIRECT(ADDRESS(2,COLUMN())),OFFSET($BN$2,0,0,ROW()-1,60),ROW()-1,FALSE))</f>
        <v/>
      </c>
      <c r="N83" t="str">
        <f ca="1">IF(AND(ISNUMBER($N$281),$B$185=1),$N$281,HLOOKUP(INDIRECT(ADDRESS(2,COLUMN())),OFFSET($BN$2,0,0,ROW()-1,60),ROW()-1,FALSE))</f>
        <v/>
      </c>
      <c r="O83" t="str">
        <f ca="1">IF(AND(ISNUMBER($O$281),$B$185=1),$O$281,HLOOKUP(INDIRECT(ADDRESS(2,COLUMN())),OFFSET($BN$2,0,0,ROW()-1,60),ROW()-1,FALSE))</f>
        <v/>
      </c>
      <c r="P83" t="str">
        <f ca="1">IF(AND(ISNUMBER($P$281),$B$185=1),$P$281,HLOOKUP(INDIRECT(ADDRESS(2,COLUMN())),OFFSET($BN$2,0,0,ROW()-1,60),ROW()-1,FALSE))</f>
        <v/>
      </c>
      <c r="Q83" t="str">
        <f ca="1">IF(AND(ISNUMBER($Q$281),$B$185=1),$Q$281,HLOOKUP(INDIRECT(ADDRESS(2,COLUMN())),OFFSET($BN$2,0,0,ROW()-1,60),ROW()-1,FALSE))</f>
        <v/>
      </c>
      <c r="R83" t="str">
        <f ca="1">IF(AND(ISNUMBER($R$281),$B$185=1),$R$281,HLOOKUP(INDIRECT(ADDRESS(2,COLUMN())),OFFSET($BN$2,0,0,ROW()-1,60),ROW()-1,FALSE))</f>
        <v/>
      </c>
      <c r="S83" t="str">
        <f ca="1">IF(AND(ISNUMBER($S$281),$B$185=1),$S$281,HLOOKUP(INDIRECT(ADDRESS(2,COLUMN())),OFFSET($BN$2,0,0,ROW()-1,60),ROW()-1,FALSE))</f>
        <v/>
      </c>
      <c r="T83" t="str">
        <f ca="1">IF(AND(ISNUMBER($T$281),$B$185=1),$T$281,HLOOKUP(INDIRECT(ADDRESS(2,COLUMN())),OFFSET($BN$2,0,0,ROW()-1,60),ROW()-1,FALSE))</f>
        <v/>
      </c>
      <c r="U83" t="str">
        <f ca="1">IF(AND(ISNUMBER($U$281),$B$185=1),$U$281,HLOOKUP(INDIRECT(ADDRESS(2,COLUMN())),OFFSET($BN$2,0,0,ROW()-1,60),ROW()-1,FALSE))</f>
        <v/>
      </c>
      <c r="V83" t="str">
        <f ca="1">IF(AND(ISNUMBER($V$281),$B$185=1),$V$281,HLOOKUP(INDIRECT(ADDRESS(2,COLUMN())),OFFSET($BN$2,0,0,ROW()-1,60),ROW()-1,FALSE))</f>
        <v/>
      </c>
      <c r="W83" t="str">
        <f ca="1">IF(AND(ISNUMBER($W$281),$B$185=1),$W$281,HLOOKUP(INDIRECT(ADDRESS(2,COLUMN())),OFFSET($BN$2,0,0,ROW()-1,60),ROW()-1,FALSE))</f>
        <v/>
      </c>
      <c r="X83" t="str">
        <f ca="1">IF(AND(ISNUMBER($X$281),$B$185=1),$X$281,HLOOKUP(INDIRECT(ADDRESS(2,COLUMN())),OFFSET($BN$2,0,0,ROW()-1,60),ROW()-1,FALSE))</f>
        <v/>
      </c>
      <c r="Y83" t="str">
        <f ca="1">IF(AND(ISNUMBER($Y$281),$B$185=1),$Y$281,HLOOKUP(INDIRECT(ADDRESS(2,COLUMN())),OFFSET($BN$2,0,0,ROW()-1,60),ROW()-1,FALSE))</f>
        <v/>
      </c>
      <c r="Z83" t="str">
        <f ca="1">IF(AND(ISNUMBER($Z$281),$B$185=1),$Z$281,HLOOKUP(INDIRECT(ADDRESS(2,COLUMN())),OFFSET($BN$2,0,0,ROW()-1,60),ROW()-1,FALSE))</f>
        <v/>
      </c>
      <c r="AA83" t="str">
        <f ca="1">IF(AND(ISNUMBER($AA$281),$B$185=1),$AA$281,HLOOKUP(INDIRECT(ADDRESS(2,COLUMN())),OFFSET($BN$2,0,0,ROW()-1,60),ROW()-1,FALSE))</f>
        <v/>
      </c>
      <c r="AB83" t="str">
        <f ca="1">IF(AND(ISNUMBER($AB$281),$B$185=1),$AB$281,HLOOKUP(INDIRECT(ADDRESS(2,COLUMN())),OFFSET($BN$2,0,0,ROW()-1,60),ROW()-1,FALSE))</f>
        <v/>
      </c>
      <c r="AC83" t="str">
        <f ca="1">IF(AND(ISNUMBER($AC$281),$B$185=1),$AC$281,HLOOKUP(INDIRECT(ADDRESS(2,COLUMN())),OFFSET($BN$2,0,0,ROW()-1,60),ROW()-1,FALSE))</f>
        <v/>
      </c>
      <c r="AD83" t="str">
        <f ca="1">IF(AND(ISNUMBER($AD$281),$B$185=1),$AD$281,HLOOKUP(INDIRECT(ADDRESS(2,COLUMN())),OFFSET($BN$2,0,0,ROW()-1,60),ROW()-1,FALSE))</f>
        <v/>
      </c>
      <c r="AE83" t="str">
        <f ca="1">IF(AND(ISNUMBER($AE$281),$B$185=1),$AE$281,HLOOKUP(INDIRECT(ADDRESS(2,COLUMN())),OFFSET($BN$2,0,0,ROW()-1,60),ROW()-1,FALSE))</f>
        <v/>
      </c>
      <c r="AF83" t="str">
        <f ca="1">IF(AND(ISNUMBER($AF$281),$B$185=1),$AF$281,HLOOKUP(INDIRECT(ADDRESS(2,COLUMN())),OFFSET($BN$2,0,0,ROW()-1,60),ROW()-1,FALSE))</f>
        <v/>
      </c>
      <c r="AG83" t="str">
        <f ca="1">IF(AND(ISNUMBER($AG$281),$B$185=1),$AG$281,HLOOKUP(INDIRECT(ADDRESS(2,COLUMN())),OFFSET($BN$2,0,0,ROW()-1,60),ROW()-1,FALSE))</f>
        <v/>
      </c>
      <c r="AH83" t="str">
        <f ca="1">IF(AND(ISNUMBER($AH$281),$B$185=1),$AH$281,HLOOKUP(INDIRECT(ADDRESS(2,COLUMN())),OFFSET($BN$2,0,0,ROW()-1,60),ROW()-1,FALSE))</f>
        <v/>
      </c>
      <c r="AI83" t="str">
        <f ca="1">IF(AND(ISNUMBER($AI$281),$B$185=1),$AI$281,HLOOKUP(INDIRECT(ADDRESS(2,COLUMN())),OFFSET($BN$2,0,0,ROW()-1,60),ROW()-1,FALSE))</f>
        <v/>
      </c>
      <c r="AJ83" t="str">
        <f ca="1">IF(AND(ISNUMBER($AJ$281),$B$185=1),$AJ$281,HLOOKUP(INDIRECT(ADDRESS(2,COLUMN())),OFFSET($BN$2,0,0,ROW()-1,60),ROW()-1,FALSE))</f>
        <v/>
      </c>
      <c r="AK83" t="str">
        <f ca="1">IF(AND(ISNUMBER($AK$281),$B$185=1),$AK$281,HLOOKUP(INDIRECT(ADDRESS(2,COLUMN())),OFFSET($BN$2,0,0,ROW()-1,60),ROW()-1,FALSE))</f>
        <v/>
      </c>
      <c r="AL83" t="str">
        <f ca="1">IF(AND(ISNUMBER($AL$281),$B$185=1),$AL$281,HLOOKUP(INDIRECT(ADDRESS(2,COLUMN())),OFFSET($BN$2,0,0,ROW()-1,60),ROW()-1,FALSE))</f>
        <v/>
      </c>
      <c r="AM83" t="str">
        <f ca="1">IF(AND(ISNUMBER($AM$281),$B$185=1),$AM$281,HLOOKUP(INDIRECT(ADDRESS(2,COLUMN())),OFFSET($BN$2,0,0,ROW()-1,60),ROW()-1,FALSE))</f>
        <v/>
      </c>
      <c r="AN83" t="str">
        <f ca="1">IF(AND(ISNUMBER($AN$281),$B$185=1),$AN$281,HLOOKUP(INDIRECT(ADDRESS(2,COLUMN())),OFFSET($BN$2,0,0,ROW()-1,60),ROW()-1,FALSE))</f>
        <v/>
      </c>
      <c r="AO83" t="str">
        <f ca="1">IF(AND(ISNUMBER($AO$281),$B$185=1),$AO$281,HLOOKUP(INDIRECT(ADDRESS(2,COLUMN())),OFFSET($BN$2,0,0,ROW()-1,60),ROW()-1,FALSE))</f>
        <v/>
      </c>
      <c r="AP83" t="str">
        <f ca="1">IF(AND(ISNUMBER($AP$281),$B$185=1),$AP$281,HLOOKUP(INDIRECT(ADDRESS(2,COLUMN())),OFFSET($BN$2,0,0,ROW()-1,60),ROW()-1,FALSE))</f>
        <v/>
      </c>
      <c r="AQ83" t="str">
        <f ca="1">IF(AND(ISNUMBER($AQ$281),$B$185=1),$AQ$281,HLOOKUP(INDIRECT(ADDRESS(2,COLUMN())),OFFSET($BN$2,0,0,ROW()-1,60),ROW()-1,FALSE))</f>
        <v/>
      </c>
      <c r="AR83" t="str">
        <f ca="1">IF(AND(ISNUMBER($AR$281),$B$185=1),$AR$281,HLOOKUP(INDIRECT(ADDRESS(2,COLUMN())),OFFSET($BN$2,0,0,ROW()-1,60),ROW()-1,FALSE))</f>
        <v/>
      </c>
      <c r="AS83" t="str">
        <f ca="1">IF(AND(ISNUMBER($AS$281),$B$185=1),$AS$281,HLOOKUP(INDIRECT(ADDRESS(2,COLUMN())),OFFSET($BN$2,0,0,ROW()-1,60),ROW()-1,FALSE))</f>
        <v/>
      </c>
      <c r="AT83" t="str">
        <f ca="1">IF(AND(ISNUMBER($AT$281),$B$185=1),$AT$281,HLOOKUP(INDIRECT(ADDRESS(2,COLUMN())),OFFSET($BN$2,0,0,ROW()-1,60),ROW()-1,FALSE))</f>
        <v/>
      </c>
      <c r="AU83" t="str">
        <f ca="1">IF(AND(ISNUMBER($AU$281),$B$185=1),$AU$281,HLOOKUP(INDIRECT(ADDRESS(2,COLUMN())),OFFSET($BN$2,0,0,ROW()-1,60),ROW()-1,FALSE))</f>
        <v/>
      </c>
      <c r="AV83" t="str">
        <f ca="1">IF(AND(ISNUMBER($AV$281),$B$185=1),$AV$281,HLOOKUP(INDIRECT(ADDRESS(2,COLUMN())),OFFSET($BN$2,0,0,ROW()-1,60),ROW()-1,FALSE))</f>
        <v/>
      </c>
      <c r="AW83" t="str">
        <f ca="1">IF(AND(ISNUMBER($AW$281),$B$185=1),$AW$281,HLOOKUP(INDIRECT(ADDRESS(2,COLUMN())),OFFSET($BN$2,0,0,ROW()-1,60),ROW()-1,FALSE))</f>
        <v/>
      </c>
      <c r="AX83" t="str">
        <f ca="1">IF(AND(ISNUMBER($AX$281),$B$185=1),$AX$281,HLOOKUP(INDIRECT(ADDRESS(2,COLUMN())),OFFSET($BN$2,0,0,ROW()-1,60),ROW()-1,FALSE))</f>
        <v/>
      </c>
      <c r="AY83" t="str">
        <f ca="1">IF(AND(ISNUMBER($AY$281),$B$185=1),$AY$281,HLOOKUP(INDIRECT(ADDRESS(2,COLUMN())),OFFSET($BN$2,0,0,ROW()-1,60),ROW()-1,FALSE))</f>
        <v/>
      </c>
      <c r="AZ83" t="str">
        <f ca="1">IF(AND(ISNUMBER($AZ$281),$B$185=1),$AZ$281,HLOOKUP(INDIRECT(ADDRESS(2,COLUMN())),OFFSET($BN$2,0,0,ROW()-1,60),ROW()-1,FALSE))</f>
        <v/>
      </c>
      <c r="BA83" t="str">
        <f ca="1">IF(AND(ISNUMBER($BA$281),$B$185=1),$BA$281,HLOOKUP(INDIRECT(ADDRESS(2,COLUMN())),OFFSET($BN$2,0,0,ROW()-1,60),ROW()-1,FALSE))</f>
        <v/>
      </c>
      <c r="BB83" t="str">
        <f ca="1">IF(AND(ISNUMBER($BB$281),$B$185=1),$BB$281,HLOOKUP(INDIRECT(ADDRESS(2,COLUMN())),OFFSET($BN$2,0,0,ROW()-1,60),ROW()-1,FALSE))</f>
        <v/>
      </c>
      <c r="BC83" t="str">
        <f ca="1">IF(AND(ISNUMBER($BC$281),$B$185=1),$BC$281,HLOOKUP(INDIRECT(ADDRESS(2,COLUMN())),OFFSET($BN$2,0,0,ROW()-1,60),ROW()-1,FALSE))</f>
        <v/>
      </c>
      <c r="BD83" t="str">
        <f ca="1">IF(AND(ISNUMBER($BD$281),$B$185=1),$BD$281,HLOOKUP(INDIRECT(ADDRESS(2,COLUMN())),OFFSET($BN$2,0,0,ROW()-1,60),ROW()-1,FALSE))</f>
        <v/>
      </c>
      <c r="BE83" t="str">
        <f ca="1">IF(AND(ISNUMBER($BE$281),$B$185=1),$BE$281,HLOOKUP(INDIRECT(ADDRESS(2,COLUMN())),OFFSET($BN$2,0,0,ROW()-1,60),ROW()-1,FALSE))</f>
        <v/>
      </c>
      <c r="BF83" t="str">
        <f ca="1">IF(AND(ISNUMBER($BF$281),$B$185=1),$BF$281,HLOOKUP(INDIRECT(ADDRESS(2,COLUMN())),OFFSET($BN$2,0,0,ROW()-1,60),ROW()-1,FALSE))</f>
        <v/>
      </c>
      <c r="BG83" t="str">
        <f ca="1">IF(AND(ISNUMBER($BG$281),$B$185=1),$BG$281,HLOOKUP(INDIRECT(ADDRESS(2,COLUMN())),OFFSET($BN$2,0,0,ROW()-1,60),ROW()-1,FALSE))</f>
        <v/>
      </c>
      <c r="BH83" t="str">
        <f ca="1">IF(AND(ISNUMBER($BH$281),$B$185=1),$BH$281,HLOOKUP(INDIRECT(ADDRESS(2,COLUMN())),OFFSET($BN$2,0,0,ROW()-1,60),ROW()-1,FALSE))</f>
        <v/>
      </c>
      <c r="BI83" t="str">
        <f ca="1">IF(AND(ISNUMBER($BI$281),$B$185=1),$BI$281,HLOOKUP(INDIRECT(ADDRESS(2,COLUMN())),OFFSET($BN$2,0,0,ROW()-1,60),ROW()-1,FALSE))</f>
        <v/>
      </c>
      <c r="BJ83" t="str">
        <f ca="1">IF(AND(ISNUMBER($BJ$281),$B$185=1),$BJ$281,HLOOKUP(INDIRECT(ADDRESS(2,COLUMN())),OFFSET($BN$2,0,0,ROW()-1,60),ROW()-1,FALSE))</f>
        <v/>
      </c>
      <c r="BK83" t="str">
        <f ca="1">IF(AND(ISNUMBER($BK$281),$B$185=1),$BK$281,HLOOKUP(INDIRECT(ADDRESS(2,COLUMN())),OFFSET($BN$2,0,0,ROW()-1,60),ROW()-1,FALSE))</f>
        <v/>
      </c>
      <c r="BL83" t="str">
        <f ca="1">IF(AND(ISNUMBER($BL$281),$B$185=1),$BL$281,HLOOKUP(INDIRECT(ADDRESS(2,COLUMN())),OFFSET($BN$2,0,0,ROW()-1,60),ROW()-1,FALSE))</f>
        <v/>
      </c>
      <c r="BM83" t="str">
        <f ca="1">IF(AND(ISNUMBER($BM$281),$B$185=1),$BM$281,HLOOKUP(INDIRECT(ADDRESS(2,COLUMN())),OFFSET($BN$2,0,0,ROW()-1,60),ROW()-1,FALSE))</f>
        <v/>
      </c>
      <c r="BN83" t="str">
        <f>""</f>
        <v/>
      </c>
      <c r="BO83" t="str">
        <f>""</f>
        <v/>
      </c>
      <c r="BP83" t="str">
        <f>""</f>
        <v/>
      </c>
      <c r="BQ83" t="str">
        <f>""</f>
        <v/>
      </c>
      <c r="BR83" t="str">
        <f>""</f>
        <v/>
      </c>
      <c r="BS83" t="str">
        <f>""</f>
        <v/>
      </c>
      <c r="BT83" t="str">
        <f>""</f>
        <v/>
      </c>
      <c r="BU83" t="str">
        <f>""</f>
        <v/>
      </c>
      <c r="BV83" t="str">
        <f>""</f>
        <v/>
      </c>
      <c r="BW83" t="str">
        <f>""</f>
        <v/>
      </c>
      <c r="BX83" t="str">
        <f>""</f>
        <v/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  <c r="CI83" t="str">
        <f>""</f>
        <v/>
      </c>
      <c r="CJ83" t="str">
        <f>""</f>
        <v/>
      </c>
      <c r="CK83" t="str">
        <f>""</f>
        <v/>
      </c>
      <c r="CL83" t="str">
        <f>""</f>
        <v/>
      </c>
      <c r="CM83" t="str">
        <f>""</f>
        <v/>
      </c>
      <c r="CN83" t="str">
        <f>""</f>
        <v/>
      </c>
      <c r="CO83" t="str">
        <f>""</f>
        <v/>
      </c>
      <c r="CP83" t="str">
        <f>""</f>
        <v/>
      </c>
      <c r="CQ83" t="str">
        <f>""</f>
        <v/>
      </c>
      <c r="CR83" t="str">
        <f>""</f>
        <v/>
      </c>
      <c r="CS83" t="str">
        <f>""</f>
        <v/>
      </c>
      <c r="CT83" t="str">
        <f>""</f>
        <v/>
      </c>
      <c r="CU83" t="str">
        <f>""</f>
        <v/>
      </c>
      <c r="CV83" t="str">
        <f>""</f>
        <v/>
      </c>
      <c r="CW83" t="str">
        <f>""</f>
        <v/>
      </c>
      <c r="CX83" t="str">
        <f>""</f>
        <v/>
      </c>
      <c r="CY83" t="str">
        <f>""</f>
        <v/>
      </c>
      <c r="CZ83" t="str">
        <f>""</f>
        <v/>
      </c>
      <c r="DA83" t="str">
        <f>""</f>
        <v/>
      </c>
      <c r="DB83" t="str">
        <f>""</f>
        <v/>
      </c>
      <c r="DC83" t="str">
        <f>""</f>
        <v/>
      </c>
      <c r="DD83" t="str">
        <f>""</f>
        <v/>
      </c>
      <c r="DE83" t="str">
        <f>""</f>
        <v/>
      </c>
      <c r="DF83" t="str">
        <f>""</f>
        <v/>
      </c>
      <c r="DG83" t="str">
        <f>""</f>
        <v/>
      </c>
      <c r="DH83" t="str">
        <f>""</f>
        <v/>
      </c>
      <c r="DI83" t="str">
        <f>""</f>
        <v/>
      </c>
      <c r="DJ83" t="str">
        <f>""</f>
        <v/>
      </c>
      <c r="DK83" t="str">
        <f>""</f>
        <v/>
      </c>
      <c r="DL83" t="str">
        <f>""</f>
        <v/>
      </c>
      <c r="DM83" t="str">
        <f>""</f>
        <v/>
      </c>
      <c r="DN83" t="str">
        <f>""</f>
        <v/>
      </c>
      <c r="DO83" t="str">
        <f>""</f>
        <v/>
      </c>
      <c r="DP83" t="str">
        <f>""</f>
        <v/>
      </c>
      <c r="DQ83" t="str">
        <f>""</f>
        <v/>
      </c>
      <c r="DR83" t="str">
        <f>""</f>
        <v/>
      </c>
      <c r="DS83" t="str">
        <f>""</f>
        <v/>
      </c>
      <c r="DT83" t="str">
        <f>""</f>
        <v/>
      </c>
      <c r="DU83" t="str">
        <f>""</f>
        <v/>
      </c>
    </row>
    <row r="84" spans="1:125">
      <c r="A84" t="str">
        <f>"    Citizens Financial Group Inc"</f>
        <v xml:space="preserve">    Citizens Financial Group Inc</v>
      </c>
      <c r="B84" t="str">
        <f>"CFG US Equity"</f>
        <v>CFG US Equity</v>
      </c>
      <c r="C84" t="str">
        <f t="shared" si="10"/>
        <v>BS961</v>
      </c>
      <c r="D84" t="str">
        <f t="shared" si="11"/>
        <v>BS_RES_MTG_OWNED_SERVICED_PORT</v>
      </c>
      <c r="E84" t="str">
        <f t="shared" si="12"/>
        <v>Dynamic</v>
      </c>
      <c r="F84" t="str">
        <f ca="1">IF(AND(ISNUMBER($F$282),$B$185=1),$F$282,HLOOKUP(INDIRECT(ADDRESS(2,COLUMN())),OFFSET($BN$2,0,0,ROW()-1,60),ROW()-1,FALSE))</f>
        <v/>
      </c>
      <c r="G84" t="str">
        <f ca="1">IF(AND(ISNUMBER($G$282),$B$185=1),$G$282,HLOOKUP(INDIRECT(ADDRESS(2,COLUMN())),OFFSET($BN$2,0,0,ROW()-1,60),ROW()-1,FALSE))</f>
        <v/>
      </c>
      <c r="H84" t="str">
        <f ca="1">IF(AND(ISNUMBER($H$282),$B$185=1),$H$282,HLOOKUP(INDIRECT(ADDRESS(2,COLUMN())),OFFSET($BN$2,0,0,ROW()-1,60),ROW()-1,FALSE))</f>
        <v/>
      </c>
      <c r="I84" t="str">
        <f ca="1">IF(AND(ISNUMBER($I$282),$B$185=1),$I$282,HLOOKUP(INDIRECT(ADDRESS(2,COLUMN())),OFFSET($BN$2,0,0,ROW()-1,60),ROW()-1,FALSE))</f>
        <v/>
      </c>
      <c r="J84" t="str">
        <f ca="1">IF(AND(ISNUMBER($J$282),$B$185=1),$J$282,HLOOKUP(INDIRECT(ADDRESS(2,COLUMN())),OFFSET($BN$2,0,0,ROW()-1,60),ROW()-1,FALSE))</f>
        <v/>
      </c>
      <c r="K84" t="str">
        <f ca="1">IF(AND(ISNUMBER($K$282),$B$185=1),$K$282,HLOOKUP(INDIRECT(ADDRESS(2,COLUMN())),OFFSET($BN$2,0,0,ROW()-1,60),ROW()-1,FALSE))</f>
        <v/>
      </c>
      <c r="L84" t="str">
        <f ca="1">IF(AND(ISNUMBER($L$282),$B$185=1),$L$282,HLOOKUP(INDIRECT(ADDRESS(2,COLUMN())),OFFSET($BN$2,0,0,ROW()-1,60),ROW()-1,FALSE))</f>
        <v/>
      </c>
      <c r="M84" t="str">
        <f ca="1">IF(AND(ISNUMBER($M$282),$B$185=1),$M$282,HLOOKUP(INDIRECT(ADDRESS(2,COLUMN())),OFFSET($BN$2,0,0,ROW()-1,60),ROW()-1,FALSE))</f>
        <v/>
      </c>
      <c r="N84" t="str">
        <f ca="1">IF(AND(ISNUMBER($N$282),$B$185=1),$N$282,HLOOKUP(INDIRECT(ADDRESS(2,COLUMN())),OFFSET($BN$2,0,0,ROW()-1,60),ROW()-1,FALSE))</f>
        <v/>
      </c>
      <c r="O84" t="str">
        <f ca="1">IF(AND(ISNUMBER($O$282),$B$185=1),$O$282,HLOOKUP(INDIRECT(ADDRESS(2,COLUMN())),OFFSET($BN$2,0,0,ROW()-1,60),ROW()-1,FALSE))</f>
        <v/>
      </c>
      <c r="P84" t="str">
        <f ca="1">IF(AND(ISNUMBER($P$282),$B$185=1),$P$282,HLOOKUP(INDIRECT(ADDRESS(2,COLUMN())),OFFSET($BN$2,0,0,ROW()-1,60),ROW()-1,FALSE))</f>
        <v/>
      </c>
      <c r="Q84" t="str">
        <f ca="1">IF(AND(ISNUMBER($Q$282),$B$185=1),$Q$282,HLOOKUP(INDIRECT(ADDRESS(2,COLUMN())),OFFSET($BN$2,0,0,ROW()-1,60),ROW()-1,FALSE))</f>
        <v/>
      </c>
      <c r="R84" t="str">
        <f ca="1">IF(AND(ISNUMBER($R$282),$B$185=1),$R$282,HLOOKUP(INDIRECT(ADDRESS(2,COLUMN())),OFFSET($BN$2,0,0,ROW()-1,60),ROW()-1,FALSE))</f>
        <v/>
      </c>
      <c r="S84" t="str">
        <f ca="1">IF(AND(ISNUMBER($S$282),$B$185=1),$S$282,HLOOKUP(INDIRECT(ADDRESS(2,COLUMN())),OFFSET($BN$2,0,0,ROW()-1,60),ROW()-1,FALSE))</f>
        <v/>
      </c>
      <c r="T84" t="str">
        <f ca="1">IF(AND(ISNUMBER($T$282),$B$185=1),$T$282,HLOOKUP(INDIRECT(ADDRESS(2,COLUMN())),OFFSET($BN$2,0,0,ROW()-1,60),ROW()-1,FALSE))</f>
        <v/>
      </c>
      <c r="U84" t="str">
        <f ca="1">IF(AND(ISNUMBER($U$282),$B$185=1),$U$282,HLOOKUP(INDIRECT(ADDRESS(2,COLUMN())),OFFSET($BN$2,0,0,ROW()-1,60),ROW()-1,FALSE))</f>
        <v/>
      </c>
      <c r="V84" t="str">
        <f ca="1">IF(AND(ISNUMBER($V$282),$B$185=1),$V$282,HLOOKUP(INDIRECT(ADDRESS(2,COLUMN())),OFFSET($BN$2,0,0,ROW()-1,60),ROW()-1,FALSE))</f>
        <v/>
      </c>
      <c r="W84" t="str">
        <f ca="1">IF(AND(ISNUMBER($W$282),$B$185=1),$W$282,HLOOKUP(INDIRECT(ADDRESS(2,COLUMN())),OFFSET($BN$2,0,0,ROW()-1,60),ROW()-1,FALSE))</f>
        <v/>
      </c>
      <c r="X84" t="str">
        <f ca="1">IF(AND(ISNUMBER($X$282),$B$185=1),$X$282,HLOOKUP(INDIRECT(ADDRESS(2,COLUMN())),OFFSET($BN$2,0,0,ROW()-1,60),ROW()-1,FALSE))</f>
        <v/>
      </c>
      <c r="Y84" t="str">
        <f ca="1">IF(AND(ISNUMBER($Y$282),$B$185=1),$Y$282,HLOOKUP(INDIRECT(ADDRESS(2,COLUMN())),OFFSET($BN$2,0,0,ROW()-1,60),ROW()-1,FALSE))</f>
        <v/>
      </c>
      <c r="Z84" t="str">
        <f ca="1">IF(AND(ISNUMBER($Z$282),$B$185=1),$Z$282,HLOOKUP(INDIRECT(ADDRESS(2,COLUMN())),OFFSET($BN$2,0,0,ROW()-1,60),ROW()-1,FALSE))</f>
        <v/>
      </c>
      <c r="AA84" t="str">
        <f ca="1">IF(AND(ISNUMBER($AA$282),$B$185=1),$AA$282,HLOOKUP(INDIRECT(ADDRESS(2,COLUMN())),OFFSET($BN$2,0,0,ROW()-1,60),ROW()-1,FALSE))</f>
        <v/>
      </c>
      <c r="AB84" t="str">
        <f ca="1">IF(AND(ISNUMBER($AB$282),$B$185=1),$AB$282,HLOOKUP(INDIRECT(ADDRESS(2,COLUMN())),OFFSET($BN$2,0,0,ROW()-1,60),ROW()-1,FALSE))</f>
        <v/>
      </c>
      <c r="AC84" t="str">
        <f ca="1">IF(AND(ISNUMBER($AC$282),$B$185=1),$AC$282,HLOOKUP(INDIRECT(ADDRESS(2,COLUMN())),OFFSET($BN$2,0,0,ROW()-1,60),ROW()-1,FALSE))</f>
        <v/>
      </c>
      <c r="AD84" t="str">
        <f ca="1">IF(AND(ISNUMBER($AD$282),$B$185=1),$AD$282,HLOOKUP(INDIRECT(ADDRESS(2,COLUMN())),OFFSET($BN$2,0,0,ROW()-1,60),ROW()-1,FALSE))</f>
        <v/>
      </c>
      <c r="AE84" t="str">
        <f ca="1">IF(AND(ISNUMBER($AE$282),$B$185=1),$AE$282,HLOOKUP(INDIRECT(ADDRESS(2,COLUMN())),OFFSET($BN$2,0,0,ROW()-1,60),ROW()-1,FALSE))</f>
        <v/>
      </c>
      <c r="AF84" t="str">
        <f ca="1">IF(AND(ISNUMBER($AF$282),$B$185=1),$AF$282,HLOOKUP(INDIRECT(ADDRESS(2,COLUMN())),OFFSET($BN$2,0,0,ROW()-1,60),ROW()-1,FALSE))</f>
        <v/>
      </c>
      <c r="AG84" t="str">
        <f ca="1">IF(AND(ISNUMBER($AG$282),$B$185=1),$AG$282,HLOOKUP(INDIRECT(ADDRESS(2,COLUMN())),OFFSET($BN$2,0,0,ROW()-1,60),ROW()-1,FALSE))</f>
        <v/>
      </c>
      <c r="AH84" t="str">
        <f ca="1">IF(AND(ISNUMBER($AH$282),$B$185=1),$AH$282,HLOOKUP(INDIRECT(ADDRESS(2,COLUMN())),OFFSET($BN$2,0,0,ROW()-1,60),ROW()-1,FALSE))</f>
        <v/>
      </c>
      <c r="AI84" t="str">
        <f ca="1">IF(AND(ISNUMBER($AI$282),$B$185=1),$AI$282,HLOOKUP(INDIRECT(ADDRESS(2,COLUMN())),OFFSET($BN$2,0,0,ROW()-1,60),ROW()-1,FALSE))</f>
        <v/>
      </c>
      <c r="AJ84" t="str">
        <f ca="1">IF(AND(ISNUMBER($AJ$282),$B$185=1),$AJ$282,HLOOKUP(INDIRECT(ADDRESS(2,COLUMN())),OFFSET($BN$2,0,0,ROW()-1,60),ROW()-1,FALSE))</f>
        <v/>
      </c>
      <c r="AK84" t="str">
        <f ca="1">IF(AND(ISNUMBER($AK$282),$B$185=1),$AK$282,HLOOKUP(INDIRECT(ADDRESS(2,COLUMN())),OFFSET($BN$2,0,0,ROW()-1,60),ROW()-1,FALSE))</f>
        <v/>
      </c>
      <c r="AL84" t="str">
        <f ca="1">IF(AND(ISNUMBER($AL$282),$B$185=1),$AL$282,HLOOKUP(INDIRECT(ADDRESS(2,COLUMN())),OFFSET($BN$2,0,0,ROW()-1,60),ROW()-1,FALSE))</f>
        <v/>
      </c>
      <c r="AM84" t="str">
        <f ca="1">IF(AND(ISNUMBER($AM$282),$B$185=1),$AM$282,HLOOKUP(INDIRECT(ADDRESS(2,COLUMN())),OFFSET($BN$2,0,0,ROW()-1,60),ROW()-1,FALSE))</f>
        <v/>
      </c>
      <c r="AN84" t="str">
        <f ca="1">IF(AND(ISNUMBER($AN$282),$B$185=1),$AN$282,HLOOKUP(INDIRECT(ADDRESS(2,COLUMN())),OFFSET($BN$2,0,0,ROW()-1,60),ROW()-1,FALSE))</f>
        <v/>
      </c>
      <c r="AO84" t="str">
        <f ca="1">IF(AND(ISNUMBER($AO$282),$B$185=1),$AO$282,HLOOKUP(INDIRECT(ADDRESS(2,COLUMN())),OFFSET($BN$2,0,0,ROW()-1,60),ROW()-1,FALSE))</f>
        <v/>
      </c>
      <c r="AP84" t="str">
        <f ca="1">IF(AND(ISNUMBER($AP$282),$B$185=1),$AP$282,HLOOKUP(INDIRECT(ADDRESS(2,COLUMN())),OFFSET($BN$2,0,0,ROW()-1,60),ROW()-1,FALSE))</f>
        <v/>
      </c>
      <c r="AQ84" t="str">
        <f ca="1">IF(AND(ISNUMBER($AQ$282),$B$185=1),$AQ$282,HLOOKUP(INDIRECT(ADDRESS(2,COLUMN())),OFFSET($BN$2,0,0,ROW()-1,60),ROW()-1,FALSE))</f>
        <v/>
      </c>
      <c r="AR84" t="str">
        <f ca="1">IF(AND(ISNUMBER($AR$282),$B$185=1),$AR$282,HLOOKUP(INDIRECT(ADDRESS(2,COLUMN())),OFFSET($BN$2,0,0,ROW()-1,60),ROW()-1,FALSE))</f>
        <v/>
      </c>
      <c r="AS84" t="str">
        <f ca="1">IF(AND(ISNUMBER($AS$282),$B$185=1),$AS$282,HLOOKUP(INDIRECT(ADDRESS(2,COLUMN())),OFFSET($BN$2,0,0,ROW()-1,60),ROW()-1,FALSE))</f>
        <v/>
      </c>
      <c r="AT84" t="str">
        <f ca="1">IF(AND(ISNUMBER($AT$282),$B$185=1),$AT$282,HLOOKUP(INDIRECT(ADDRESS(2,COLUMN())),OFFSET($BN$2,0,0,ROW()-1,60),ROW()-1,FALSE))</f>
        <v/>
      </c>
      <c r="AU84" t="str">
        <f ca="1">IF(AND(ISNUMBER($AU$282),$B$185=1),$AU$282,HLOOKUP(INDIRECT(ADDRESS(2,COLUMN())),OFFSET($BN$2,0,0,ROW()-1,60),ROW()-1,FALSE))</f>
        <v/>
      </c>
      <c r="AV84" t="str">
        <f ca="1">IF(AND(ISNUMBER($AV$282),$B$185=1),$AV$282,HLOOKUP(INDIRECT(ADDRESS(2,COLUMN())),OFFSET($BN$2,0,0,ROW()-1,60),ROW()-1,FALSE))</f>
        <v/>
      </c>
      <c r="AW84" t="str">
        <f ca="1">IF(AND(ISNUMBER($AW$282),$B$185=1),$AW$282,HLOOKUP(INDIRECT(ADDRESS(2,COLUMN())),OFFSET($BN$2,0,0,ROW()-1,60),ROW()-1,FALSE))</f>
        <v/>
      </c>
      <c r="AX84" t="str">
        <f ca="1">IF(AND(ISNUMBER($AX$282),$B$185=1),$AX$282,HLOOKUP(INDIRECT(ADDRESS(2,COLUMN())),OFFSET($BN$2,0,0,ROW()-1,60),ROW()-1,FALSE))</f>
        <v/>
      </c>
      <c r="AY84" t="str">
        <f ca="1">IF(AND(ISNUMBER($AY$282),$B$185=1),$AY$282,HLOOKUP(INDIRECT(ADDRESS(2,COLUMN())),OFFSET($BN$2,0,0,ROW()-1,60),ROW()-1,FALSE))</f>
        <v/>
      </c>
      <c r="AZ84" t="str">
        <f ca="1">IF(AND(ISNUMBER($AZ$282),$B$185=1),$AZ$282,HLOOKUP(INDIRECT(ADDRESS(2,COLUMN())),OFFSET($BN$2,0,0,ROW()-1,60),ROW()-1,FALSE))</f>
        <v/>
      </c>
      <c r="BA84" t="str">
        <f ca="1">IF(AND(ISNUMBER($BA$282),$B$185=1),$BA$282,HLOOKUP(INDIRECT(ADDRESS(2,COLUMN())),OFFSET($BN$2,0,0,ROW()-1,60),ROW()-1,FALSE))</f>
        <v/>
      </c>
      <c r="BB84" t="str">
        <f ca="1">IF(AND(ISNUMBER($BB$282),$B$185=1),$BB$282,HLOOKUP(INDIRECT(ADDRESS(2,COLUMN())),OFFSET($BN$2,0,0,ROW()-1,60),ROW()-1,FALSE))</f>
        <v/>
      </c>
      <c r="BC84" t="str">
        <f ca="1">IF(AND(ISNUMBER($BC$282),$B$185=1),$BC$282,HLOOKUP(INDIRECT(ADDRESS(2,COLUMN())),OFFSET($BN$2,0,0,ROW()-1,60),ROW()-1,FALSE))</f>
        <v/>
      </c>
      <c r="BD84" t="str">
        <f ca="1">IF(AND(ISNUMBER($BD$282),$B$185=1),$BD$282,HLOOKUP(INDIRECT(ADDRESS(2,COLUMN())),OFFSET($BN$2,0,0,ROW()-1,60),ROW()-1,FALSE))</f>
        <v/>
      </c>
      <c r="BE84" t="str">
        <f ca="1">IF(AND(ISNUMBER($BE$282),$B$185=1),$BE$282,HLOOKUP(INDIRECT(ADDRESS(2,COLUMN())),OFFSET($BN$2,0,0,ROW()-1,60),ROW()-1,FALSE))</f>
        <v/>
      </c>
      <c r="BF84" t="str">
        <f ca="1">IF(AND(ISNUMBER($BF$282),$B$185=1),$BF$282,HLOOKUP(INDIRECT(ADDRESS(2,COLUMN())),OFFSET($BN$2,0,0,ROW()-1,60),ROW()-1,FALSE))</f>
        <v/>
      </c>
      <c r="BG84" t="str">
        <f ca="1">IF(AND(ISNUMBER($BG$282),$B$185=1),$BG$282,HLOOKUP(INDIRECT(ADDRESS(2,COLUMN())),OFFSET($BN$2,0,0,ROW()-1,60),ROW()-1,FALSE))</f>
        <v/>
      </c>
      <c r="BH84" t="str">
        <f ca="1">IF(AND(ISNUMBER($BH$282),$B$185=1),$BH$282,HLOOKUP(INDIRECT(ADDRESS(2,COLUMN())),OFFSET($BN$2,0,0,ROW()-1,60),ROW()-1,FALSE))</f>
        <v/>
      </c>
      <c r="BI84" t="str">
        <f ca="1">IF(AND(ISNUMBER($BI$282),$B$185=1),$BI$282,HLOOKUP(INDIRECT(ADDRESS(2,COLUMN())),OFFSET($BN$2,0,0,ROW()-1,60),ROW()-1,FALSE))</f>
        <v/>
      </c>
      <c r="BJ84" t="str">
        <f ca="1">IF(AND(ISNUMBER($BJ$282),$B$185=1),$BJ$282,HLOOKUP(INDIRECT(ADDRESS(2,COLUMN())),OFFSET($BN$2,0,0,ROW()-1,60),ROW()-1,FALSE))</f>
        <v/>
      </c>
      <c r="BK84" t="str">
        <f ca="1">IF(AND(ISNUMBER($BK$282),$B$185=1),$BK$282,HLOOKUP(INDIRECT(ADDRESS(2,COLUMN())),OFFSET($BN$2,0,0,ROW()-1,60),ROW()-1,FALSE))</f>
        <v/>
      </c>
      <c r="BL84" t="str">
        <f ca="1">IF(AND(ISNUMBER($BL$282),$B$185=1),$BL$282,HLOOKUP(INDIRECT(ADDRESS(2,COLUMN())),OFFSET($BN$2,0,0,ROW()-1,60),ROW()-1,FALSE))</f>
        <v/>
      </c>
      <c r="BM84" t="str">
        <f ca="1">IF(AND(ISNUMBER($BM$282),$B$185=1),$BM$282,HLOOKUP(INDIRECT(ADDRESS(2,COLUMN())),OFFSET($BN$2,0,0,ROW()-1,60),ROW()-1,FALSE))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  <c r="BT84" t="str">
        <f>""</f>
        <v/>
      </c>
      <c r="BU84" t="str">
        <f>""</f>
        <v/>
      </c>
      <c r="BV84" t="str">
        <f>""</f>
        <v/>
      </c>
      <c r="BW84" t="str">
        <f>""</f>
        <v/>
      </c>
      <c r="BX84" t="str">
        <f>""</f>
        <v/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  <c r="CI84" t="str">
        <f>""</f>
        <v/>
      </c>
      <c r="CJ84" t="str">
        <f>""</f>
        <v/>
      </c>
      <c r="CK84" t="str">
        <f>""</f>
        <v/>
      </c>
      <c r="CL84" t="str">
        <f>""</f>
        <v/>
      </c>
      <c r="CM84" t="str">
        <f>""</f>
        <v/>
      </c>
      <c r="CN84" t="str">
        <f>""</f>
        <v/>
      </c>
      <c r="CO84" t="str">
        <f>""</f>
        <v/>
      </c>
      <c r="CP84" t="str">
        <f>""</f>
        <v/>
      </c>
      <c r="CQ84" t="str">
        <f>""</f>
        <v/>
      </c>
      <c r="CR84" t="str">
        <f>""</f>
        <v/>
      </c>
      <c r="CS84" t="str">
        <f>""</f>
        <v/>
      </c>
      <c r="CT84" t="str">
        <f>""</f>
        <v/>
      </c>
      <c r="CU84" t="str">
        <f>""</f>
        <v/>
      </c>
      <c r="CV84" t="str">
        <f>""</f>
        <v/>
      </c>
      <c r="CW84" t="str">
        <f>""</f>
        <v/>
      </c>
      <c r="CX84" t="str">
        <f>""</f>
        <v/>
      </c>
      <c r="CY84" t="str">
        <f>""</f>
        <v/>
      </c>
      <c r="CZ84" t="str">
        <f>""</f>
        <v/>
      </c>
      <c r="DA84" t="str">
        <f>""</f>
        <v/>
      </c>
      <c r="DB84" t="str">
        <f>""</f>
        <v/>
      </c>
      <c r="DC84" t="str">
        <f>""</f>
        <v/>
      </c>
      <c r="DD84" t="str">
        <f>""</f>
        <v/>
      </c>
      <c r="DE84" t="str">
        <f>""</f>
        <v/>
      </c>
      <c r="DF84" t="str">
        <f>""</f>
        <v/>
      </c>
      <c r="DG84" t="str">
        <f>""</f>
        <v/>
      </c>
      <c r="DH84" t="str">
        <f>""</f>
        <v/>
      </c>
      <c r="DI84" t="str">
        <f>""</f>
        <v/>
      </c>
      <c r="DJ84" t="str">
        <f>""</f>
        <v/>
      </c>
      <c r="DK84" t="str">
        <f>""</f>
        <v/>
      </c>
      <c r="DL84" t="str">
        <f>""</f>
        <v/>
      </c>
      <c r="DM84" t="str">
        <f>""</f>
        <v/>
      </c>
      <c r="DN84" t="str">
        <f>""</f>
        <v/>
      </c>
      <c r="DO84" t="str">
        <f>""</f>
        <v/>
      </c>
      <c r="DP84" t="str">
        <f>""</f>
        <v/>
      </c>
      <c r="DQ84" t="str">
        <f>""</f>
        <v/>
      </c>
      <c r="DR84" t="str">
        <f>""</f>
        <v/>
      </c>
      <c r="DS84" t="str">
        <f>""</f>
        <v/>
      </c>
      <c r="DT84" t="str">
        <f>""</f>
        <v/>
      </c>
      <c r="DU84" t="str">
        <f>""</f>
        <v/>
      </c>
    </row>
    <row r="85" spans="1:125">
      <c r="A85" t="str">
        <f>"    Comerica Inc"</f>
        <v xml:space="preserve">    Comerica Inc</v>
      </c>
      <c r="B85" t="str">
        <f>"CMA US Equity"</f>
        <v>CMA US Equity</v>
      </c>
      <c r="C85" t="str">
        <f t="shared" si="10"/>
        <v>BS961</v>
      </c>
      <c r="D85" t="str">
        <f t="shared" si="11"/>
        <v>BS_RES_MTG_OWNED_SERVICED_PORT</v>
      </c>
      <c r="E85" t="str">
        <f t="shared" si="12"/>
        <v>Dynamic</v>
      </c>
      <c r="F85" t="str">
        <f ca="1">IF(AND(ISNUMBER($F$283),$B$185=1),$F$283,HLOOKUP(INDIRECT(ADDRESS(2,COLUMN())),OFFSET($BN$2,0,0,ROW()-1,60),ROW()-1,FALSE))</f>
        <v/>
      </c>
      <c r="G85" t="str">
        <f ca="1">IF(AND(ISNUMBER($G$283),$B$185=1),$G$283,HLOOKUP(INDIRECT(ADDRESS(2,COLUMN())),OFFSET($BN$2,0,0,ROW()-1,60),ROW()-1,FALSE))</f>
        <v/>
      </c>
      <c r="H85" t="str">
        <f ca="1">IF(AND(ISNUMBER($H$283),$B$185=1),$H$283,HLOOKUP(INDIRECT(ADDRESS(2,COLUMN())),OFFSET($BN$2,0,0,ROW()-1,60),ROW()-1,FALSE))</f>
        <v/>
      </c>
      <c r="I85" t="str">
        <f ca="1">IF(AND(ISNUMBER($I$283),$B$185=1),$I$283,HLOOKUP(INDIRECT(ADDRESS(2,COLUMN())),OFFSET($BN$2,0,0,ROW()-1,60),ROW()-1,FALSE))</f>
        <v/>
      </c>
      <c r="J85" t="str">
        <f ca="1">IF(AND(ISNUMBER($J$283),$B$185=1),$J$283,HLOOKUP(INDIRECT(ADDRESS(2,COLUMN())),OFFSET($BN$2,0,0,ROW()-1,60),ROW()-1,FALSE))</f>
        <v/>
      </c>
      <c r="K85" t="str">
        <f ca="1">IF(AND(ISNUMBER($K$283),$B$185=1),$K$283,HLOOKUP(INDIRECT(ADDRESS(2,COLUMN())),OFFSET($BN$2,0,0,ROW()-1,60),ROW()-1,FALSE))</f>
        <v/>
      </c>
      <c r="L85" t="str">
        <f ca="1">IF(AND(ISNUMBER($L$283),$B$185=1),$L$283,HLOOKUP(INDIRECT(ADDRESS(2,COLUMN())),OFFSET($BN$2,0,0,ROW()-1,60),ROW()-1,FALSE))</f>
        <v/>
      </c>
      <c r="M85" t="str">
        <f ca="1">IF(AND(ISNUMBER($M$283),$B$185=1),$M$283,HLOOKUP(INDIRECT(ADDRESS(2,COLUMN())),OFFSET($BN$2,0,0,ROW()-1,60),ROW()-1,FALSE))</f>
        <v/>
      </c>
      <c r="N85" t="str">
        <f ca="1">IF(AND(ISNUMBER($N$283),$B$185=1),$N$283,HLOOKUP(INDIRECT(ADDRESS(2,COLUMN())),OFFSET($BN$2,0,0,ROW()-1,60),ROW()-1,FALSE))</f>
        <v/>
      </c>
      <c r="O85" t="str">
        <f ca="1">IF(AND(ISNUMBER($O$283),$B$185=1),$O$283,HLOOKUP(INDIRECT(ADDRESS(2,COLUMN())),OFFSET($BN$2,0,0,ROW()-1,60),ROW()-1,FALSE))</f>
        <v/>
      </c>
      <c r="P85" t="str">
        <f ca="1">IF(AND(ISNUMBER($P$283),$B$185=1),$P$283,HLOOKUP(INDIRECT(ADDRESS(2,COLUMN())),OFFSET($BN$2,0,0,ROW()-1,60),ROW()-1,FALSE))</f>
        <v/>
      </c>
      <c r="Q85" t="str">
        <f ca="1">IF(AND(ISNUMBER($Q$283),$B$185=1),$Q$283,HLOOKUP(INDIRECT(ADDRESS(2,COLUMN())),OFFSET($BN$2,0,0,ROW()-1,60),ROW()-1,FALSE))</f>
        <v/>
      </c>
      <c r="R85" t="str">
        <f ca="1">IF(AND(ISNUMBER($R$283),$B$185=1),$R$283,HLOOKUP(INDIRECT(ADDRESS(2,COLUMN())),OFFSET($BN$2,0,0,ROW()-1,60),ROW()-1,FALSE))</f>
        <v/>
      </c>
      <c r="S85" t="str">
        <f ca="1">IF(AND(ISNUMBER($S$283),$B$185=1),$S$283,HLOOKUP(INDIRECT(ADDRESS(2,COLUMN())),OFFSET($BN$2,0,0,ROW()-1,60),ROW()-1,FALSE))</f>
        <v/>
      </c>
      <c r="T85" t="str">
        <f ca="1">IF(AND(ISNUMBER($T$283),$B$185=1),$T$283,HLOOKUP(INDIRECT(ADDRESS(2,COLUMN())),OFFSET($BN$2,0,0,ROW()-1,60),ROW()-1,FALSE))</f>
        <v/>
      </c>
      <c r="U85" t="str">
        <f ca="1">IF(AND(ISNUMBER($U$283),$B$185=1),$U$283,HLOOKUP(INDIRECT(ADDRESS(2,COLUMN())),OFFSET($BN$2,0,0,ROW()-1,60),ROW()-1,FALSE))</f>
        <v/>
      </c>
      <c r="V85" t="str">
        <f ca="1">IF(AND(ISNUMBER($V$283),$B$185=1),$V$283,HLOOKUP(INDIRECT(ADDRESS(2,COLUMN())),OFFSET($BN$2,0,0,ROW()-1,60),ROW()-1,FALSE))</f>
        <v/>
      </c>
      <c r="W85" t="str">
        <f ca="1">IF(AND(ISNUMBER($W$283),$B$185=1),$W$283,HLOOKUP(INDIRECT(ADDRESS(2,COLUMN())),OFFSET($BN$2,0,0,ROW()-1,60),ROW()-1,FALSE))</f>
        <v/>
      </c>
      <c r="X85" t="str">
        <f ca="1">IF(AND(ISNUMBER($X$283),$B$185=1),$X$283,HLOOKUP(INDIRECT(ADDRESS(2,COLUMN())),OFFSET($BN$2,0,0,ROW()-1,60),ROW()-1,FALSE))</f>
        <v/>
      </c>
      <c r="Y85" t="str">
        <f ca="1">IF(AND(ISNUMBER($Y$283),$B$185=1),$Y$283,HLOOKUP(INDIRECT(ADDRESS(2,COLUMN())),OFFSET($BN$2,0,0,ROW()-1,60),ROW()-1,FALSE))</f>
        <v/>
      </c>
      <c r="Z85" t="str">
        <f ca="1">IF(AND(ISNUMBER($Z$283),$B$185=1),$Z$283,HLOOKUP(INDIRECT(ADDRESS(2,COLUMN())),OFFSET($BN$2,0,0,ROW()-1,60),ROW()-1,FALSE))</f>
        <v/>
      </c>
      <c r="AA85" t="str">
        <f ca="1">IF(AND(ISNUMBER($AA$283),$B$185=1),$AA$283,HLOOKUP(INDIRECT(ADDRESS(2,COLUMN())),OFFSET($BN$2,0,0,ROW()-1,60),ROW()-1,FALSE))</f>
        <v/>
      </c>
      <c r="AB85" t="str">
        <f ca="1">IF(AND(ISNUMBER($AB$283),$B$185=1),$AB$283,HLOOKUP(INDIRECT(ADDRESS(2,COLUMN())),OFFSET($BN$2,0,0,ROW()-1,60),ROW()-1,FALSE))</f>
        <v/>
      </c>
      <c r="AC85" t="str">
        <f ca="1">IF(AND(ISNUMBER($AC$283),$B$185=1),$AC$283,HLOOKUP(INDIRECT(ADDRESS(2,COLUMN())),OFFSET($BN$2,0,0,ROW()-1,60),ROW()-1,FALSE))</f>
        <v/>
      </c>
      <c r="AD85" t="str">
        <f ca="1">IF(AND(ISNUMBER($AD$283),$B$185=1),$AD$283,HLOOKUP(INDIRECT(ADDRESS(2,COLUMN())),OFFSET($BN$2,0,0,ROW()-1,60),ROW()-1,FALSE))</f>
        <v/>
      </c>
      <c r="AE85" t="str">
        <f ca="1">IF(AND(ISNUMBER($AE$283),$B$185=1),$AE$283,HLOOKUP(INDIRECT(ADDRESS(2,COLUMN())),OFFSET($BN$2,0,0,ROW()-1,60),ROW()-1,FALSE))</f>
        <v/>
      </c>
      <c r="AF85" t="str">
        <f ca="1">IF(AND(ISNUMBER($AF$283),$B$185=1),$AF$283,HLOOKUP(INDIRECT(ADDRESS(2,COLUMN())),OFFSET($BN$2,0,0,ROW()-1,60),ROW()-1,FALSE))</f>
        <v/>
      </c>
      <c r="AG85" t="str">
        <f ca="1">IF(AND(ISNUMBER($AG$283),$B$185=1),$AG$283,HLOOKUP(INDIRECT(ADDRESS(2,COLUMN())),OFFSET($BN$2,0,0,ROW()-1,60),ROW()-1,FALSE))</f>
        <v/>
      </c>
      <c r="AH85" t="str">
        <f ca="1">IF(AND(ISNUMBER($AH$283),$B$185=1),$AH$283,HLOOKUP(INDIRECT(ADDRESS(2,COLUMN())),OFFSET($BN$2,0,0,ROW()-1,60),ROW()-1,FALSE))</f>
        <v/>
      </c>
      <c r="AI85" t="str">
        <f ca="1">IF(AND(ISNUMBER($AI$283),$B$185=1),$AI$283,HLOOKUP(INDIRECT(ADDRESS(2,COLUMN())),OFFSET($BN$2,0,0,ROW()-1,60),ROW()-1,FALSE))</f>
        <v/>
      </c>
      <c r="AJ85" t="str">
        <f ca="1">IF(AND(ISNUMBER($AJ$283),$B$185=1),$AJ$283,HLOOKUP(INDIRECT(ADDRESS(2,COLUMN())),OFFSET($BN$2,0,0,ROW()-1,60),ROW()-1,FALSE))</f>
        <v/>
      </c>
      <c r="AK85" t="str">
        <f ca="1">IF(AND(ISNUMBER($AK$283),$B$185=1),$AK$283,HLOOKUP(INDIRECT(ADDRESS(2,COLUMN())),OFFSET($BN$2,0,0,ROW()-1,60),ROW()-1,FALSE))</f>
        <v/>
      </c>
      <c r="AL85" t="str">
        <f ca="1">IF(AND(ISNUMBER($AL$283),$B$185=1),$AL$283,HLOOKUP(INDIRECT(ADDRESS(2,COLUMN())),OFFSET($BN$2,0,0,ROW()-1,60),ROW()-1,FALSE))</f>
        <v/>
      </c>
      <c r="AM85" t="str">
        <f ca="1">IF(AND(ISNUMBER($AM$283),$B$185=1),$AM$283,HLOOKUP(INDIRECT(ADDRESS(2,COLUMN())),OFFSET($BN$2,0,0,ROW()-1,60),ROW()-1,FALSE))</f>
        <v/>
      </c>
      <c r="AN85" t="str">
        <f ca="1">IF(AND(ISNUMBER($AN$283),$B$185=1),$AN$283,HLOOKUP(INDIRECT(ADDRESS(2,COLUMN())),OFFSET($BN$2,0,0,ROW()-1,60),ROW()-1,FALSE))</f>
        <v/>
      </c>
      <c r="AO85" t="str">
        <f ca="1">IF(AND(ISNUMBER($AO$283),$B$185=1),$AO$283,HLOOKUP(INDIRECT(ADDRESS(2,COLUMN())),OFFSET($BN$2,0,0,ROW()-1,60),ROW()-1,FALSE))</f>
        <v/>
      </c>
      <c r="AP85" t="str">
        <f ca="1">IF(AND(ISNUMBER($AP$283),$B$185=1),$AP$283,HLOOKUP(INDIRECT(ADDRESS(2,COLUMN())),OFFSET($BN$2,0,0,ROW()-1,60),ROW()-1,FALSE))</f>
        <v/>
      </c>
      <c r="AQ85" t="str">
        <f ca="1">IF(AND(ISNUMBER($AQ$283),$B$185=1),$AQ$283,HLOOKUP(INDIRECT(ADDRESS(2,COLUMN())),OFFSET($BN$2,0,0,ROW()-1,60),ROW()-1,FALSE))</f>
        <v/>
      </c>
      <c r="AR85" t="str">
        <f ca="1">IF(AND(ISNUMBER($AR$283),$B$185=1),$AR$283,HLOOKUP(INDIRECT(ADDRESS(2,COLUMN())),OFFSET($BN$2,0,0,ROW()-1,60),ROW()-1,FALSE))</f>
        <v/>
      </c>
      <c r="AS85" t="str">
        <f ca="1">IF(AND(ISNUMBER($AS$283),$B$185=1),$AS$283,HLOOKUP(INDIRECT(ADDRESS(2,COLUMN())),OFFSET($BN$2,0,0,ROW()-1,60),ROW()-1,FALSE))</f>
        <v/>
      </c>
      <c r="AT85" t="str">
        <f ca="1">IF(AND(ISNUMBER($AT$283),$B$185=1),$AT$283,HLOOKUP(INDIRECT(ADDRESS(2,COLUMN())),OFFSET($BN$2,0,0,ROW()-1,60),ROW()-1,FALSE))</f>
        <v/>
      </c>
      <c r="AU85" t="str">
        <f ca="1">IF(AND(ISNUMBER($AU$283),$B$185=1),$AU$283,HLOOKUP(INDIRECT(ADDRESS(2,COLUMN())),OFFSET($BN$2,0,0,ROW()-1,60),ROW()-1,FALSE))</f>
        <v/>
      </c>
      <c r="AV85" t="str">
        <f ca="1">IF(AND(ISNUMBER($AV$283),$B$185=1),$AV$283,HLOOKUP(INDIRECT(ADDRESS(2,COLUMN())),OFFSET($BN$2,0,0,ROW()-1,60),ROW()-1,FALSE))</f>
        <v/>
      </c>
      <c r="AW85" t="str">
        <f ca="1">IF(AND(ISNUMBER($AW$283),$B$185=1),$AW$283,HLOOKUP(INDIRECT(ADDRESS(2,COLUMN())),OFFSET($BN$2,0,0,ROW()-1,60),ROW()-1,FALSE))</f>
        <v/>
      </c>
      <c r="AX85" t="str">
        <f ca="1">IF(AND(ISNUMBER($AX$283),$B$185=1),$AX$283,HLOOKUP(INDIRECT(ADDRESS(2,COLUMN())),OFFSET($BN$2,0,0,ROW()-1,60),ROW()-1,FALSE))</f>
        <v/>
      </c>
      <c r="AY85" t="str">
        <f ca="1">IF(AND(ISNUMBER($AY$283),$B$185=1),$AY$283,HLOOKUP(INDIRECT(ADDRESS(2,COLUMN())),OFFSET($BN$2,0,0,ROW()-1,60),ROW()-1,FALSE))</f>
        <v/>
      </c>
      <c r="AZ85" t="str">
        <f ca="1">IF(AND(ISNUMBER($AZ$283),$B$185=1),$AZ$283,HLOOKUP(INDIRECT(ADDRESS(2,COLUMN())),OFFSET($BN$2,0,0,ROW()-1,60),ROW()-1,FALSE))</f>
        <v/>
      </c>
      <c r="BA85" t="str">
        <f ca="1">IF(AND(ISNUMBER($BA$283),$B$185=1),$BA$283,HLOOKUP(INDIRECT(ADDRESS(2,COLUMN())),OFFSET($BN$2,0,0,ROW()-1,60),ROW()-1,FALSE))</f>
        <v/>
      </c>
      <c r="BB85" t="str">
        <f ca="1">IF(AND(ISNUMBER($BB$283),$B$185=1),$BB$283,HLOOKUP(INDIRECT(ADDRESS(2,COLUMN())),OFFSET($BN$2,0,0,ROW()-1,60),ROW()-1,FALSE))</f>
        <v/>
      </c>
      <c r="BC85" t="str">
        <f ca="1">IF(AND(ISNUMBER($BC$283),$B$185=1),$BC$283,HLOOKUP(INDIRECT(ADDRESS(2,COLUMN())),OFFSET($BN$2,0,0,ROW()-1,60),ROW()-1,FALSE))</f>
        <v/>
      </c>
      <c r="BD85" t="str">
        <f ca="1">IF(AND(ISNUMBER($BD$283),$B$185=1),$BD$283,HLOOKUP(INDIRECT(ADDRESS(2,COLUMN())),OFFSET($BN$2,0,0,ROW()-1,60),ROW()-1,FALSE))</f>
        <v/>
      </c>
      <c r="BE85" t="str">
        <f ca="1">IF(AND(ISNUMBER($BE$283),$B$185=1),$BE$283,HLOOKUP(INDIRECT(ADDRESS(2,COLUMN())),OFFSET($BN$2,0,0,ROW()-1,60),ROW()-1,FALSE))</f>
        <v/>
      </c>
      <c r="BF85" t="str">
        <f ca="1">IF(AND(ISNUMBER($BF$283),$B$185=1),$BF$283,HLOOKUP(INDIRECT(ADDRESS(2,COLUMN())),OFFSET($BN$2,0,0,ROW()-1,60),ROW()-1,FALSE))</f>
        <v/>
      </c>
      <c r="BG85" t="str">
        <f ca="1">IF(AND(ISNUMBER($BG$283),$B$185=1),$BG$283,HLOOKUP(INDIRECT(ADDRESS(2,COLUMN())),OFFSET($BN$2,0,0,ROW()-1,60),ROW()-1,FALSE))</f>
        <v/>
      </c>
      <c r="BH85" t="str">
        <f ca="1">IF(AND(ISNUMBER($BH$283),$B$185=1),$BH$283,HLOOKUP(INDIRECT(ADDRESS(2,COLUMN())),OFFSET($BN$2,0,0,ROW()-1,60),ROW()-1,FALSE))</f>
        <v/>
      </c>
      <c r="BI85" t="str">
        <f ca="1">IF(AND(ISNUMBER($BI$283),$B$185=1),$BI$283,HLOOKUP(INDIRECT(ADDRESS(2,COLUMN())),OFFSET($BN$2,0,0,ROW()-1,60),ROW()-1,FALSE))</f>
        <v/>
      </c>
      <c r="BJ85" t="str">
        <f ca="1">IF(AND(ISNUMBER($BJ$283),$B$185=1),$BJ$283,HLOOKUP(INDIRECT(ADDRESS(2,COLUMN())),OFFSET($BN$2,0,0,ROW()-1,60),ROW()-1,FALSE))</f>
        <v/>
      </c>
      <c r="BK85" t="str">
        <f ca="1">IF(AND(ISNUMBER($BK$283),$B$185=1),$BK$283,HLOOKUP(INDIRECT(ADDRESS(2,COLUMN())),OFFSET($BN$2,0,0,ROW()-1,60),ROW()-1,FALSE))</f>
        <v/>
      </c>
      <c r="BL85" t="str">
        <f ca="1">IF(AND(ISNUMBER($BL$283),$B$185=1),$BL$283,HLOOKUP(INDIRECT(ADDRESS(2,COLUMN())),OFFSET($BN$2,0,0,ROW()-1,60),ROW()-1,FALSE))</f>
        <v/>
      </c>
      <c r="BM85" t="str">
        <f ca="1">IF(AND(ISNUMBER($BM$283),$B$185=1),$BM$283,HLOOKUP(INDIRECT(ADDRESS(2,COLUMN())),OFFSET($BN$2,0,0,ROW()-1,60),ROW()-1,FALSE))</f>
        <v/>
      </c>
      <c r="BN85" t="str">
        <f>""</f>
        <v/>
      </c>
      <c r="BO85" t="str">
        <f>""</f>
        <v/>
      </c>
      <c r="BP85" t="str">
        <f>""</f>
        <v/>
      </c>
      <c r="BQ85" t="str">
        <f>""</f>
        <v/>
      </c>
      <c r="BR85" t="str">
        <f>""</f>
        <v/>
      </c>
      <c r="BS85" t="str">
        <f>""</f>
        <v/>
      </c>
      <c r="BT85" t="str">
        <f>""</f>
        <v/>
      </c>
      <c r="BU85" t="str">
        <f>""</f>
        <v/>
      </c>
      <c r="BV85" t="str">
        <f>""</f>
        <v/>
      </c>
      <c r="BW85" t="str">
        <f>""</f>
        <v/>
      </c>
      <c r="BX85" t="str">
        <f>""</f>
        <v/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 t="str">
        <f>""</f>
        <v/>
      </c>
      <c r="CW85" t="str">
        <f>""</f>
        <v/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>
      <c r="A86" t="str">
        <f>"    East West Bancorp Inc"</f>
        <v xml:space="preserve">    East West Bancorp Inc</v>
      </c>
      <c r="B86" t="str">
        <f>"EWBC US Equity"</f>
        <v>EWBC US Equity</v>
      </c>
      <c r="C86" t="str">
        <f t="shared" si="10"/>
        <v>BS961</v>
      </c>
      <c r="D86" t="str">
        <f t="shared" si="11"/>
        <v>BS_RES_MTG_OWNED_SERVICED_PORT</v>
      </c>
      <c r="E86" t="str">
        <f t="shared" si="12"/>
        <v>Dynamic</v>
      </c>
      <c r="F86" t="str">
        <f ca="1">IF(AND(ISNUMBER($F$284),$B$185=1),$F$284,HLOOKUP(INDIRECT(ADDRESS(2,COLUMN())),OFFSET($BN$2,0,0,ROW()-1,60),ROW()-1,FALSE))</f>
        <v/>
      </c>
      <c r="G86" t="str">
        <f ca="1">IF(AND(ISNUMBER($G$284),$B$185=1),$G$284,HLOOKUP(INDIRECT(ADDRESS(2,COLUMN())),OFFSET($BN$2,0,0,ROW()-1,60),ROW()-1,FALSE))</f>
        <v/>
      </c>
      <c r="H86" t="str">
        <f ca="1">IF(AND(ISNUMBER($H$284),$B$185=1),$H$284,HLOOKUP(INDIRECT(ADDRESS(2,COLUMN())),OFFSET($BN$2,0,0,ROW()-1,60),ROW()-1,FALSE))</f>
        <v/>
      </c>
      <c r="I86" t="str">
        <f ca="1">IF(AND(ISNUMBER($I$284),$B$185=1),$I$284,HLOOKUP(INDIRECT(ADDRESS(2,COLUMN())),OFFSET($BN$2,0,0,ROW()-1,60),ROW()-1,FALSE))</f>
        <v/>
      </c>
      <c r="J86" t="str">
        <f ca="1">IF(AND(ISNUMBER($J$284),$B$185=1),$J$284,HLOOKUP(INDIRECT(ADDRESS(2,COLUMN())),OFFSET($BN$2,0,0,ROW()-1,60),ROW()-1,FALSE))</f>
        <v/>
      </c>
      <c r="K86" t="str">
        <f ca="1">IF(AND(ISNUMBER($K$284),$B$185=1),$K$284,HLOOKUP(INDIRECT(ADDRESS(2,COLUMN())),OFFSET($BN$2,0,0,ROW()-1,60),ROW()-1,FALSE))</f>
        <v/>
      </c>
      <c r="L86" t="str">
        <f ca="1">IF(AND(ISNUMBER($L$284),$B$185=1),$L$284,HLOOKUP(INDIRECT(ADDRESS(2,COLUMN())),OFFSET($BN$2,0,0,ROW()-1,60),ROW()-1,FALSE))</f>
        <v/>
      </c>
      <c r="M86" t="str">
        <f ca="1">IF(AND(ISNUMBER($M$284),$B$185=1),$M$284,HLOOKUP(INDIRECT(ADDRESS(2,COLUMN())),OFFSET($BN$2,0,0,ROW()-1,60),ROW()-1,FALSE))</f>
        <v/>
      </c>
      <c r="N86" t="str">
        <f ca="1">IF(AND(ISNUMBER($N$284),$B$185=1),$N$284,HLOOKUP(INDIRECT(ADDRESS(2,COLUMN())),OFFSET($BN$2,0,0,ROW()-1,60),ROW()-1,FALSE))</f>
        <v/>
      </c>
      <c r="O86" t="str">
        <f ca="1">IF(AND(ISNUMBER($O$284),$B$185=1),$O$284,HLOOKUP(INDIRECT(ADDRESS(2,COLUMN())),OFFSET($BN$2,0,0,ROW()-1,60),ROW()-1,FALSE))</f>
        <v/>
      </c>
      <c r="P86" t="str">
        <f ca="1">IF(AND(ISNUMBER($P$284),$B$185=1),$P$284,HLOOKUP(INDIRECT(ADDRESS(2,COLUMN())),OFFSET($BN$2,0,0,ROW()-1,60),ROW()-1,FALSE))</f>
        <v/>
      </c>
      <c r="Q86" t="str">
        <f ca="1">IF(AND(ISNUMBER($Q$284),$B$185=1),$Q$284,HLOOKUP(INDIRECT(ADDRESS(2,COLUMN())),OFFSET($BN$2,0,0,ROW()-1,60),ROW()-1,FALSE))</f>
        <v/>
      </c>
      <c r="R86" t="str">
        <f ca="1">IF(AND(ISNUMBER($R$284),$B$185=1),$R$284,HLOOKUP(INDIRECT(ADDRESS(2,COLUMN())),OFFSET($BN$2,0,0,ROW()-1,60),ROW()-1,FALSE))</f>
        <v/>
      </c>
      <c r="S86" t="str">
        <f ca="1">IF(AND(ISNUMBER($S$284),$B$185=1),$S$284,HLOOKUP(INDIRECT(ADDRESS(2,COLUMN())),OFFSET($BN$2,0,0,ROW()-1,60),ROW()-1,FALSE))</f>
        <v/>
      </c>
      <c r="T86" t="str">
        <f ca="1">IF(AND(ISNUMBER($T$284),$B$185=1),$T$284,HLOOKUP(INDIRECT(ADDRESS(2,COLUMN())),OFFSET($BN$2,0,0,ROW()-1,60),ROW()-1,FALSE))</f>
        <v/>
      </c>
      <c r="U86" t="str">
        <f ca="1">IF(AND(ISNUMBER($U$284),$B$185=1),$U$284,HLOOKUP(INDIRECT(ADDRESS(2,COLUMN())),OFFSET($BN$2,0,0,ROW()-1,60),ROW()-1,FALSE))</f>
        <v/>
      </c>
      <c r="V86" t="str">
        <f ca="1">IF(AND(ISNUMBER($V$284),$B$185=1),$V$284,HLOOKUP(INDIRECT(ADDRESS(2,COLUMN())),OFFSET($BN$2,0,0,ROW()-1,60),ROW()-1,FALSE))</f>
        <v/>
      </c>
      <c r="W86" t="str">
        <f ca="1">IF(AND(ISNUMBER($W$284),$B$185=1),$W$284,HLOOKUP(INDIRECT(ADDRESS(2,COLUMN())),OFFSET($BN$2,0,0,ROW()-1,60),ROW()-1,FALSE))</f>
        <v/>
      </c>
      <c r="X86" t="str">
        <f ca="1">IF(AND(ISNUMBER($X$284),$B$185=1),$X$284,HLOOKUP(INDIRECT(ADDRESS(2,COLUMN())),OFFSET($BN$2,0,0,ROW()-1,60),ROW()-1,FALSE))</f>
        <v/>
      </c>
      <c r="Y86" t="str">
        <f ca="1">IF(AND(ISNUMBER($Y$284),$B$185=1),$Y$284,HLOOKUP(INDIRECT(ADDRESS(2,COLUMN())),OFFSET($BN$2,0,0,ROW()-1,60),ROW()-1,FALSE))</f>
        <v/>
      </c>
      <c r="Z86" t="str">
        <f ca="1">IF(AND(ISNUMBER($Z$284),$B$185=1),$Z$284,HLOOKUP(INDIRECT(ADDRESS(2,COLUMN())),OFFSET($BN$2,0,0,ROW()-1,60),ROW()-1,FALSE))</f>
        <v/>
      </c>
      <c r="AA86" t="str">
        <f ca="1">IF(AND(ISNUMBER($AA$284),$B$185=1),$AA$284,HLOOKUP(INDIRECT(ADDRESS(2,COLUMN())),OFFSET($BN$2,0,0,ROW()-1,60),ROW()-1,FALSE))</f>
        <v/>
      </c>
      <c r="AB86" t="str">
        <f ca="1">IF(AND(ISNUMBER($AB$284),$B$185=1),$AB$284,HLOOKUP(INDIRECT(ADDRESS(2,COLUMN())),OFFSET($BN$2,0,0,ROW()-1,60),ROW()-1,FALSE))</f>
        <v/>
      </c>
      <c r="AC86" t="str">
        <f ca="1">IF(AND(ISNUMBER($AC$284),$B$185=1),$AC$284,HLOOKUP(INDIRECT(ADDRESS(2,COLUMN())),OFFSET($BN$2,0,0,ROW()-1,60),ROW()-1,FALSE))</f>
        <v/>
      </c>
      <c r="AD86" t="str">
        <f ca="1">IF(AND(ISNUMBER($AD$284),$B$185=1),$AD$284,HLOOKUP(INDIRECT(ADDRESS(2,COLUMN())),OFFSET($BN$2,0,0,ROW()-1,60),ROW()-1,FALSE))</f>
        <v/>
      </c>
      <c r="AE86" t="str">
        <f ca="1">IF(AND(ISNUMBER($AE$284),$B$185=1),$AE$284,HLOOKUP(INDIRECT(ADDRESS(2,COLUMN())),OFFSET($BN$2,0,0,ROW()-1,60),ROW()-1,FALSE))</f>
        <v/>
      </c>
      <c r="AF86" t="str">
        <f ca="1">IF(AND(ISNUMBER($AF$284),$B$185=1),$AF$284,HLOOKUP(INDIRECT(ADDRESS(2,COLUMN())),OFFSET($BN$2,0,0,ROW()-1,60),ROW()-1,FALSE))</f>
        <v/>
      </c>
      <c r="AG86" t="str">
        <f ca="1">IF(AND(ISNUMBER($AG$284),$B$185=1),$AG$284,HLOOKUP(INDIRECT(ADDRESS(2,COLUMN())),OFFSET($BN$2,0,0,ROW()-1,60),ROW()-1,FALSE))</f>
        <v/>
      </c>
      <c r="AH86" t="str">
        <f ca="1">IF(AND(ISNUMBER($AH$284),$B$185=1),$AH$284,HLOOKUP(INDIRECT(ADDRESS(2,COLUMN())),OFFSET($BN$2,0,0,ROW()-1,60),ROW()-1,FALSE))</f>
        <v/>
      </c>
      <c r="AI86" t="str">
        <f ca="1">IF(AND(ISNUMBER($AI$284),$B$185=1),$AI$284,HLOOKUP(INDIRECT(ADDRESS(2,COLUMN())),OFFSET($BN$2,0,0,ROW()-1,60),ROW()-1,FALSE))</f>
        <v/>
      </c>
      <c r="AJ86" t="str">
        <f ca="1">IF(AND(ISNUMBER($AJ$284),$B$185=1),$AJ$284,HLOOKUP(INDIRECT(ADDRESS(2,COLUMN())),OFFSET($BN$2,0,0,ROW()-1,60),ROW()-1,FALSE))</f>
        <v/>
      </c>
      <c r="AK86" t="str">
        <f ca="1">IF(AND(ISNUMBER($AK$284),$B$185=1),$AK$284,HLOOKUP(INDIRECT(ADDRESS(2,COLUMN())),OFFSET($BN$2,0,0,ROW()-1,60),ROW()-1,FALSE))</f>
        <v/>
      </c>
      <c r="AL86" t="str">
        <f ca="1">IF(AND(ISNUMBER($AL$284),$B$185=1),$AL$284,HLOOKUP(INDIRECT(ADDRESS(2,COLUMN())),OFFSET($BN$2,0,0,ROW()-1,60),ROW()-1,FALSE))</f>
        <v/>
      </c>
      <c r="AM86" t="str">
        <f ca="1">IF(AND(ISNUMBER($AM$284),$B$185=1),$AM$284,HLOOKUP(INDIRECT(ADDRESS(2,COLUMN())),OFFSET($BN$2,0,0,ROW()-1,60),ROW()-1,FALSE))</f>
        <v/>
      </c>
      <c r="AN86" t="str">
        <f ca="1">IF(AND(ISNUMBER($AN$284),$B$185=1),$AN$284,HLOOKUP(INDIRECT(ADDRESS(2,COLUMN())),OFFSET($BN$2,0,0,ROW()-1,60),ROW()-1,FALSE))</f>
        <v/>
      </c>
      <c r="AO86" t="str">
        <f ca="1">IF(AND(ISNUMBER($AO$284),$B$185=1),$AO$284,HLOOKUP(INDIRECT(ADDRESS(2,COLUMN())),OFFSET($BN$2,0,0,ROW()-1,60),ROW()-1,FALSE))</f>
        <v/>
      </c>
      <c r="AP86" t="str">
        <f ca="1">IF(AND(ISNUMBER($AP$284),$B$185=1),$AP$284,HLOOKUP(INDIRECT(ADDRESS(2,COLUMN())),OFFSET($BN$2,0,0,ROW()-1,60),ROW()-1,FALSE))</f>
        <v/>
      </c>
      <c r="AQ86" t="str">
        <f ca="1">IF(AND(ISNUMBER($AQ$284),$B$185=1),$AQ$284,HLOOKUP(INDIRECT(ADDRESS(2,COLUMN())),OFFSET($BN$2,0,0,ROW()-1,60),ROW()-1,FALSE))</f>
        <v/>
      </c>
      <c r="AR86" t="str">
        <f ca="1">IF(AND(ISNUMBER($AR$284),$B$185=1),$AR$284,HLOOKUP(INDIRECT(ADDRESS(2,COLUMN())),OFFSET($BN$2,0,0,ROW()-1,60),ROW()-1,FALSE))</f>
        <v/>
      </c>
      <c r="AS86" t="str">
        <f ca="1">IF(AND(ISNUMBER($AS$284),$B$185=1),$AS$284,HLOOKUP(INDIRECT(ADDRESS(2,COLUMN())),OFFSET($BN$2,0,0,ROW()-1,60),ROW()-1,FALSE))</f>
        <v/>
      </c>
      <c r="AT86" t="str">
        <f ca="1">IF(AND(ISNUMBER($AT$284),$B$185=1),$AT$284,HLOOKUP(INDIRECT(ADDRESS(2,COLUMN())),OFFSET($BN$2,0,0,ROW()-1,60),ROW()-1,FALSE))</f>
        <v/>
      </c>
      <c r="AU86" t="str">
        <f ca="1">IF(AND(ISNUMBER($AU$284),$B$185=1),$AU$284,HLOOKUP(INDIRECT(ADDRESS(2,COLUMN())),OFFSET($BN$2,0,0,ROW()-1,60),ROW()-1,FALSE))</f>
        <v/>
      </c>
      <c r="AV86" t="str">
        <f ca="1">IF(AND(ISNUMBER($AV$284),$B$185=1),$AV$284,HLOOKUP(INDIRECT(ADDRESS(2,COLUMN())),OFFSET($BN$2,0,0,ROW()-1,60),ROW()-1,FALSE))</f>
        <v/>
      </c>
      <c r="AW86" t="str">
        <f ca="1">IF(AND(ISNUMBER($AW$284),$B$185=1),$AW$284,HLOOKUP(INDIRECT(ADDRESS(2,COLUMN())),OFFSET($BN$2,0,0,ROW()-1,60),ROW()-1,FALSE))</f>
        <v/>
      </c>
      <c r="AX86" t="str">
        <f ca="1">IF(AND(ISNUMBER($AX$284),$B$185=1),$AX$284,HLOOKUP(INDIRECT(ADDRESS(2,COLUMN())),OFFSET($BN$2,0,0,ROW()-1,60),ROW()-1,FALSE))</f>
        <v/>
      </c>
      <c r="AY86" t="str">
        <f ca="1">IF(AND(ISNUMBER($AY$284),$B$185=1),$AY$284,HLOOKUP(INDIRECT(ADDRESS(2,COLUMN())),OFFSET($BN$2,0,0,ROW()-1,60),ROW()-1,FALSE))</f>
        <v/>
      </c>
      <c r="AZ86" t="str">
        <f ca="1">IF(AND(ISNUMBER($AZ$284),$B$185=1),$AZ$284,HLOOKUP(INDIRECT(ADDRESS(2,COLUMN())),OFFSET($BN$2,0,0,ROW()-1,60),ROW()-1,FALSE))</f>
        <v/>
      </c>
      <c r="BA86" t="str">
        <f ca="1">IF(AND(ISNUMBER($BA$284),$B$185=1),$BA$284,HLOOKUP(INDIRECT(ADDRESS(2,COLUMN())),OFFSET($BN$2,0,0,ROW()-1,60),ROW()-1,FALSE))</f>
        <v/>
      </c>
      <c r="BB86" t="str">
        <f ca="1">IF(AND(ISNUMBER($BB$284),$B$185=1),$BB$284,HLOOKUP(INDIRECT(ADDRESS(2,COLUMN())),OFFSET($BN$2,0,0,ROW()-1,60),ROW()-1,FALSE))</f>
        <v/>
      </c>
      <c r="BC86" t="str">
        <f ca="1">IF(AND(ISNUMBER($BC$284),$B$185=1),$BC$284,HLOOKUP(INDIRECT(ADDRESS(2,COLUMN())),OFFSET($BN$2,0,0,ROW()-1,60),ROW()-1,FALSE))</f>
        <v/>
      </c>
      <c r="BD86" t="str">
        <f ca="1">IF(AND(ISNUMBER($BD$284),$B$185=1),$BD$284,HLOOKUP(INDIRECT(ADDRESS(2,COLUMN())),OFFSET($BN$2,0,0,ROW()-1,60),ROW()-1,FALSE))</f>
        <v/>
      </c>
      <c r="BE86" t="str">
        <f ca="1">IF(AND(ISNUMBER($BE$284),$B$185=1),$BE$284,HLOOKUP(INDIRECT(ADDRESS(2,COLUMN())),OFFSET($BN$2,0,0,ROW()-1,60),ROW()-1,FALSE))</f>
        <v/>
      </c>
      <c r="BF86" t="str">
        <f ca="1">IF(AND(ISNUMBER($BF$284),$B$185=1),$BF$284,HLOOKUP(INDIRECT(ADDRESS(2,COLUMN())),OFFSET($BN$2,0,0,ROW()-1,60),ROW()-1,FALSE))</f>
        <v/>
      </c>
      <c r="BG86" t="str">
        <f ca="1">IF(AND(ISNUMBER($BG$284),$B$185=1),$BG$284,HLOOKUP(INDIRECT(ADDRESS(2,COLUMN())),OFFSET($BN$2,0,0,ROW()-1,60),ROW()-1,FALSE))</f>
        <v/>
      </c>
      <c r="BH86" t="str">
        <f ca="1">IF(AND(ISNUMBER($BH$284),$B$185=1),$BH$284,HLOOKUP(INDIRECT(ADDRESS(2,COLUMN())),OFFSET($BN$2,0,0,ROW()-1,60),ROW()-1,FALSE))</f>
        <v/>
      </c>
      <c r="BI86" t="str">
        <f ca="1">IF(AND(ISNUMBER($BI$284),$B$185=1),$BI$284,HLOOKUP(INDIRECT(ADDRESS(2,COLUMN())),OFFSET($BN$2,0,0,ROW()-1,60),ROW()-1,FALSE))</f>
        <v/>
      </c>
      <c r="BJ86" t="str">
        <f ca="1">IF(AND(ISNUMBER($BJ$284),$B$185=1),$BJ$284,HLOOKUP(INDIRECT(ADDRESS(2,COLUMN())),OFFSET($BN$2,0,0,ROW()-1,60),ROW()-1,FALSE))</f>
        <v/>
      </c>
      <c r="BK86" t="str">
        <f ca="1">IF(AND(ISNUMBER($BK$284),$B$185=1),$BK$284,HLOOKUP(INDIRECT(ADDRESS(2,COLUMN())),OFFSET($BN$2,0,0,ROW()-1,60),ROW()-1,FALSE))</f>
        <v/>
      </c>
      <c r="BL86" t="str">
        <f ca="1">IF(AND(ISNUMBER($BL$284),$B$185=1),$BL$284,HLOOKUP(INDIRECT(ADDRESS(2,COLUMN())),OFFSET($BN$2,0,0,ROW()-1,60),ROW()-1,FALSE))</f>
        <v/>
      </c>
      <c r="BM86" t="str">
        <f ca="1">IF(AND(ISNUMBER($BM$284),$B$185=1),$BM$284,HLOOKUP(INDIRECT(ADDRESS(2,COLUMN())),OFFSET($BN$2,0,0,ROW()-1,60),ROW()-1,FALSE))</f>
        <v/>
      </c>
      <c r="BN86" t="str">
        <f>""</f>
        <v/>
      </c>
      <c r="BO86" t="str">
        <f>""</f>
        <v/>
      </c>
      <c r="BP86" t="str">
        <f>""</f>
        <v/>
      </c>
      <c r="BQ86" t="str">
        <f>""</f>
        <v/>
      </c>
      <c r="BR86" t="str">
        <f>""</f>
        <v/>
      </c>
      <c r="BS86" t="str">
        <f>""</f>
        <v/>
      </c>
      <c r="BT86" t="str">
        <f>""</f>
        <v/>
      </c>
      <c r="BU86" t="str">
        <f>""</f>
        <v/>
      </c>
      <c r="BV86" t="str">
        <f>""</f>
        <v/>
      </c>
      <c r="BW86" t="str">
        <f>""</f>
        <v/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""</f>
        <v/>
      </c>
      <c r="CI86" t="str">
        <f>""</f>
        <v/>
      </c>
      <c r="CJ86" t="str">
        <f>""</f>
        <v/>
      </c>
      <c r="CK86" t="str">
        <f>""</f>
        <v/>
      </c>
      <c r="CL86" t="str">
        <f>""</f>
        <v/>
      </c>
      <c r="CM86" t="str">
        <f>""</f>
        <v/>
      </c>
      <c r="CN86" t="str">
        <f>""</f>
        <v/>
      </c>
      <c r="CO86" t="str">
        <f>""</f>
        <v/>
      </c>
      <c r="CP86" t="str">
        <f>""</f>
        <v/>
      </c>
      <c r="CQ86" t="str">
        <f>""</f>
        <v/>
      </c>
      <c r="CR86" t="str">
        <f>""</f>
        <v/>
      </c>
      <c r="CS86" t="str">
        <f>""</f>
        <v/>
      </c>
      <c r="CT86" t="str">
        <f>""</f>
        <v/>
      </c>
      <c r="CU86" t="str">
        <f>""</f>
        <v/>
      </c>
      <c r="CV86" t="str">
        <f>""</f>
        <v/>
      </c>
      <c r="CW86" t="str">
        <f>""</f>
        <v/>
      </c>
      <c r="CX86" t="str">
        <f>""</f>
        <v/>
      </c>
      <c r="CY86" t="str">
        <f>""</f>
        <v/>
      </c>
      <c r="CZ86" t="str">
        <f>""</f>
        <v/>
      </c>
      <c r="DA86" t="str">
        <f>""</f>
        <v/>
      </c>
      <c r="DB86" t="str">
        <f>""</f>
        <v/>
      </c>
      <c r="DC86" t="str">
        <f>""</f>
        <v/>
      </c>
      <c r="DD86" t="str">
        <f>""</f>
        <v/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>
      <c r="A87" t="str">
        <f>"    First Horizon Corp"</f>
        <v xml:space="preserve">    First Horizon Corp</v>
      </c>
      <c r="B87" t="str">
        <f>"FHN US Equity"</f>
        <v>FHN US Equity</v>
      </c>
      <c r="C87" t="str">
        <f t="shared" si="10"/>
        <v>BS961</v>
      </c>
      <c r="D87" t="str">
        <f t="shared" si="11"/>
        <v>BS_RES_MTG_OWNED_SERVICED_PORT</v>
      </c>
      <c r="E87" t="str">
        <f t="shared" si="12"/>
        <v>Dynamic</v>
      </c>
      <c r="F87" t="str">
        <f ca="1">IF(AND(ISNUMBER($F$285),$B$185=1),$F$285,HLOOKUP(INDIRECT(ADDRESS(2,COLUMN())),OFFSET($BN$2,0,0,ROW()-1,60),ROW()-1,FALSE))</f>
        <v/>
      </c>
      <c r="G87" t="str">
        <f ca="1">IF(AND(ISNUMBER($G$285),$B$185=1),$G$285,HLOOKUP(INDIRECT(ADDRESS(2,COLUMN())),OFFSET($BN$2,0,0,ROW()-1,60),ROW()-1,FALSE))</f>
        <v/>
      </c>
      <c r="H87" t="str">
        <f ca="1">IF(AND(ISNUMBER($H$285),$B$185=1),$H$285,HLOOKUP(INDIRECT(ADDRESS(2,COLUMN())),OFFSET($BN$2,0,0,ROW()-1,60),ROW()-1,FALSE))</f>
        <v/>
      </c>
      <c r="I87" t="str">
        <f ca="1">IF(AND(ISNUMBER($I$285),$B$185=1),$I$285,HLOOKUP(INDIRECT(ADDRESS(2,COLUMN())),OFFSET($BN$2,0,0,ROW()-1,60),ROW()-1,FALSE))</f>
        <v/>
      </c>
      <c r="J87" t="str">
        <f ca="1">IF(AND(ISNUMBER($J$285),$B$185=1),$J$285,HLOOKUP(INDIRECT(ADDRESS(2,COLUMN())),OFFSET($BN$2,0,0,ROW()-1,60),ROW()-1,FALSE))</f>
        <v/>
      </c>
      <c r="K87" t="str">
        <f ca="1">IF(AND(ISNUMBER($K$285),$B$185=1),$K$285,HLOOKUP(INDIRECT(ADDRESS(2,COLUMN())),OFFSET($BN$2,0,0,ROW()-1,60),ROW()-1,FALSE))</f>
        <v/>
      </c>
      <c r="L87" t="str">
        <f ca="1">IF(AND(ISNUMBER($L$285),$B$185=1),$L$285,HLOOKUP(INDIRECT(ADDRESS(2,COLUMN())),OFFSET($BN$2,0,0,ROW()-1,60),ROW()-1,FALSE))</f>
        <v/>
      </c>
      <c r="M87" t="str">
        <f ca="1">IF(AND(ISNUMBER($M$285),$B$185=1),$M$285,HLOOKUP(INDIRECT(ADDRESS(2,COLUMN())),OFFSET($BN$2,0,0,ROW()-1,60),ROW()-1,FALSE))</f>
        <v/>
      </c>
      <c r="N87" t="str">
        <f ca="1">IF(AND(ISNUMBER($N$285),$B$185=1),$N$285,HLOOKUP(INDIRECT(ADDRESS(2,COLUMN())),OFFSET($BN$2,0,0,ROW()-1,60),ROW()-1,FALSE))</f>
        <v/>
      </c>
      <c r="O87" t="str">
        <f ca="1">IF(AND(ISNUMBER($O$285),$B$185=1),$O$285,HLOOKUP(INDIRECT(ADDRESS(2,COLUMN())),OFFSET($BN$2,0,0,ROW()-1,60),ROW()-1,FALSE))</f>
        <v/>
      </c>
      <c r="P87" t="str">
        <f ca="1">IF(AND(ISNUMBER($P$285),$B$185=1),$P$285,HLOOKUP(INDIRECT(ADDRESS(2,COLUMN())),OFFSET($BN$2,0,0,ROW()-1,60),ROW()-1,FALSE))</f>
        <v/>
      </c>
      <c r="Q87" t="str">
        <f ca="1">IF(AND(ISNUMBER($Q$285),$B$185=1),$Q$285,HLOOKUP(INDIRECT(ADDRESS(2,COLUMN())),OFFSET($BN$2,0,0,ROW()-1,60),ROW()-1,FALSE))</f>
        <v/>
      </c>
      <c r="R87" t="str">
        <f ca="1">IF(AND(ISNUMBER($R$285),$B$185=1),$R$285,HLOOKUP(INDIRECT(ADDRESS(2,COLUMN())),OFFSET($BN$2,0,0,ROW()-1,60),ROW()-1,FALSE))</f>
        <v/>
      </c>
      <c r="S87" t="str">
        <f ca="1">IF(AND(ISNUMBER($S$285),$B$185=1),$S$285,HLOOKUP(INDIRECT(ADDRESS(2,COLUMN())),OFFSET($BN$2,0,0,ROW()-1,60),ROW()-1,FALSE))</f>
        <v/>
      </c>
      <c r="T87" t="str">
        <f ca="1">IF(AND(ISNUMBER($T$285),$B$185=1),$T$285,HLOOKUP(INDIRECT(ADDRESS(2,COLUMN())),OFFSET($BN$2,0,0,ROW()-1,60),ROW()-1,FALSE))</f>
        <v/>
      </c>
      <c r="U87" t="str">
        <f ca="1">IF(AND(ISNUMBER($U$285),$B$185=1),$U$285,HLOOKUP(INDIRECT(ADDRESS(2,COLUMN())),OFFSET($BN$2,0,0,ROW()-1,60),ROW()-1,FALSE))</f>
        <v/>
      </c>
      <c r="V87" t="str">
        <f ca="1">IF(AND(ISNUMBER($V$285),$B$185=1),$V$285,HLOOKUP(INDIRECT(ADDRESS(2,COLUMN())),OFFSET($BN$2,0,0,ROW()-1,60),ROW()-1,FALSE))</f>
        <v/>
      </c>
      <c r="W87" t="str">
        <f ca="1">IF(AND(ISNUMBER($W$285),$B$185=1),$W$285,HLOOKUP(INDIRECT(ADDRESS(2,COLUMN())),OFFSET($BN$2,0,0,ROW()-1,60),ROW()-1,FALSE))</f>
        <v/>
      </c>
      <c r="X87" t="str">
        <f ca="1">IF(AND(ISNUMBER($X$285),$B$185=1),$X$285,HLOOKUP(INDIRECT(ADDRESS(2,COLUMN())),OFFSET($BN$2,0,0,ROW()-1,60),ROW()-1,FALSE))</f>
        <v/>
      </c>
      <c r="Y87" t="str">
        <f ca="1">IF(AND(ISNUMBER($Y$285),$B$185=1),$Y$285,HLOOKUP(INDIRECT(ADDRESS(2,COLUMN())),OFFSET($BN$2,0,0,ROW()-1,60),ROW()-1,FALSE))</f>
        <v/>
      </c>
      <c r="Z87" t="str">
        <f ca="1">IF(AND(ISNUMBER($Z$285),$B$185=1),$Z$285,HLOOKUP(INDIRECT(ADDRESS(2,COLUMN())),OFFSET($BN$2,0,0,ROW()-1,60),ROW()-1,FALSE))</f>
        <v/>
      </c>
      <c r="AA87" t="str">
        <f ca="1">IF(AND(ISNUMBER($AA$285),$B$185=1),$AA$285,HLOOKUP(INDIRECT(ADDRESS(2,COLUMN())),OFFSET($BN$2,0,0,ROW()-1,60),ROW()-1,FALSE))</f>
        <v/>
      </c>
      <c r="AB87" t="str">
        <f ca="1">IF(AND(ISNUMBER($AB$285),$B$185=1),$AB$285,HLOOKUP(INDIRECT(ADDRESS(2,COLUMN())),OFFSET($BN$2,0,0,ROW()-1,60),ROW()-1,FALSE))</f>
        <v/>
      </c>
      <c r="AC87" t="str">
        <f ca="1">IF(AND(ISNUMBER($AC$285),$B$185=1),$AC$285,HLOOKUP(INDIRECT(ADDRESS(2,COLUMN())),OFFSET($BN$2,0,0,ROW()-1,60),ROW()-1,FALSE))</f>
        <v/>
      </c>
      <c r="AD87" t="str">
        <f ca="1">IF(AND(ISNUMBER($AD$285),$B$185=1),$AD$285,HLOOKUP(INDIRECT(ADDRESS(2,COLUMN())),OFFSET($BN$2,0,0,ROW()-1,60),ROW()-1,FALSE))</f>
        <v/>
      </c>
      <c r="AE87" t="str">
        <f ca="1">IF(AND(ISNUMBER($AE$285),$B$185=1),$AE$285,HLOOKUP(INDIRECT(ADDRESS(2,COLUMN())),OFFSET($BN$2,0,0,ROW()-1,60),ROW()-1,FALSE))</f>
        <v/>
      </c>
      <c r="AF87" t="str">
        <f ca="1">IF(AND(ISNUMBER($AF$285),$B$185=1),$AF$285,HLOOKUP(INDIRECT(ADDRESS(2,COLUMN())),OFFSET($BN$2,0,0,ROW()-1,60),ROW()-1,FALSE))</f>
        <v/>
      </c>
      <c r="AG87" t="str">
        <f ca="1">IF(AND(ISNUMBER($AG$285),$B$185=1),$AG$285,HLOOKUP(INDIRECT(ADDRESS(2,COLUMN())),OFFSET($BN$2,0,0,ROW()-1,60),ROW()-1,FALSE))</f>
        <v/>
      </c>
      <c r="AH87" t="str">
        <f ca="1">IF(AND(ISNUMBER($AH$285),$B$185=1),$AH$285,HLOOKUP(INDIRECT(ADDRESS(2,COLUMN())),OFFSET($BN$2,0,0,ROW()-1,60),ROW()-1,FALSE))</f>
        <v/>
      </c>
      <c r="AI87" t="str">
        <f ca="1">IF(AND(ISNUMBER($AI$285),$B$185=1),$AI$285,HLOOKUP(INDIRECT(ADDRESS(2,COLUMN())),OFFSET($BN$2,0,0,ROW()-1,60),ROW()-1,FALSE))</f>
        <v/>
      </c>
      <c r="AJ87" t="str">
        <f ca="1">IF(AND(ISNUMBER($AJ$285),$B$185=1),$AJ$285,HLOOKUP(INDIRECT(ADDRESS(2,COLUMN())),OFFSET($BN$2,0,0,ROW()-1,60),ROW()-1,FALSE))</f>
        <v/>
      </c>
      <c r="AK87" t="str">
        <f ca="1">IF(AND(ISNUMBER($AK$285),$B$185=1),$AK$285,HLOOKUP(INDIRECT(ADDRESS(2,COLUMN())),OFFSET($BN$2,0,0,ROW()-1,60),ROW()-1,FALSE))</f>
        <v/>
      </c>
      <c r="AL87" t="str">
        <f ca="1">IF(AND(ISNUMBER($AL$285),$B$185=1),$AL$285,HLOOKUP(INDIRECT(ADDRESS(2,COLUMN())),OFFSET($BN$2,0,0,ROW()-1,60),ROW()-1,FALSE))</f>
        <v/>
      </c>
      <c r="AM87" t="str">
        <f ca="1">IF(AND(ISNUMBER($AM$285),$B$185=1),$AM$285,HLOOKUP(INDIRECT(ADDRESS(2,COLUMN())),OFFSET($BN$2,0,0,ROW()-1,60),ROW()-1,FALSE))</f>
        <v/>
      </c>
      <c r="AN87" t="str">
        <f ca="1">IF(AND(ISNUMBER($AN$285),$B$185=1),$AN$285,HLOOKUP(INDIRECT(ADDRESS(2,COLUMN())),OFFSET($BN$2,0,0,ROW()-1,60),ROW()-1,FALSE))</f>
        <v/>
      </c>
      <c r="AO87" t="str">
        <f ca="1">IF(AND(ISNUMBER($AO$285),$B$185=1),$AO$285,HLOOKUP(INDIRECT(ADDRESS(2,COLUMN())),OFFSET($BN$2,0,0,ROW()-1,60),ROW()-1,FALSE))</f>
        <v/>
      </c>
      <c r="AP87" t="str">
        <f ca="1">IF(AND(ISNUMBER($AP$285),$B$185=1),$AP$285,HLOOKUP(INDIRECT(ADDRESS(2,COLUMN())),OFFSET($BN$2,0,0,ROW()-1,60),ROW()-1,FALSE))</f>
        <v/>
      </c>
      <c r="AQ87" t="str">
        <f ca="1">IF(AND(ISNUMBER($AQ$285),$B$185=1),$AQ$285,HLOOKUP(INDIRECT(ADDRESS(2,COLUMN())),OFFSET($BN$2,0,0,ROW()-1,60),ROW()-1,FALSE))</f>
        <v/>
      </c>
      <c r="AR87" t="str">
        <f ca="1">IF(AND(ISNUMBER($AR$285),$B$185=1),$AR$285,HLOOKUP(INDIRECT(ADDRESS(2,COLUMN())),OFFSET($BN$2,0,0,ROW()-1,60),ROW()-1,FALSE))</f>
        <v/>
      </c>
      <c r="AS87" t="str">
        <f ca="1">IF(AND(ISNUMBER($AS$285),$B$185=1),$AS$285,HLOOKUP(INDIRECT(ADDRESS(2,COLUMN())),OFFSET($BN$2,0,0,ROW()-1,60),ROW()-1,FALSE))</f>
        <v/>
      </c>
      <c r="AT87" t="str">
        <f ca="1">IF(AND(ISNUMBER($AT$285),$B$185=1),$AT$285,HLOOKUP(INDIRECT(ADDRESS(2,COLUMN())),OFFSET($BN$2,0,0,ROW()-1,60),ROW()-1,FALSE))</f>
        <v/>
      </c>
      <c r="AU87" t="str">
        <f ca="1">IF(AND(ISNUMBER($AU$285),$B$185=1),$AU$285,HLOOKUP(INDIRECT(ADDRESS(2,COLUMN())),OFFSET($BN$2,0,0,ROW()-1,60),ROW()-1,FALSE))</f>
        <v/>
      </c>
      <c r="AV87" t="str">
        <f ca="1">IF(AND(ISNUMBER($AV$285),$B$185=1),$AV$285,HLOOKUP(INDIRECT(ADDRESS(2,COLUMN())),OFFSET($BN$2,0,0,ROW()-1,60),ROW()-1,FALSE))</f>
        <v/>
      </c>
      <c r="AW87" t="str">
        <f ca="1">IF(AND(ISNUMBER($AW$285),$B$185=1),$AW$285,HLOOKUP(INDIRECT(ADDRESS(2,COLUMN())),OFFSET($BN$2,0,0,ROW()-1,60),ROW()-1,FALSE))</f>
        <v/>
      </c>
      <c r="AX87" t="str">
        <f ca="1">IF(AND(ISNUMBER($AX$285),$B$185=1),$AX$285,HLOOKUP(INDIRECT(ADDRESS(2,COLUMN())),OFFSET($BN$2,0,0,ROW()-1,60),ROW()-1,FALSE))</f>
        <v/>
      </c>
      <c r="AY87" t="str">
        <f ca="1">IF(AND(ISNUMBER($AY$285),$B$185=1),$AY$285,HLOOKUP(INDIRECT(ADDRESS(2,COLUMN())),OFFSET($BN$2,0,0,ROW()-1,60),ROW()-1,FALSE))</f>
        <v/>
      </c>
      <c r="AZ87" t="str">
        <f ca="1">IF(AND(ISNUMBER($AZ$285),$B$185=1),$AZ$285,HLOOKUP(INDIRECT(ADDRESS(2,COLUMN())),OFFSET($BN$2,0,0,ROW()-1,60),ROW()-1,FALSE))</f>
        <v/>
      </c>
      <c r="BA87" t="str">
        <f ca="1">IF(AND(ISNUMBER($BA$285),$B$185=1),$BA$285,HLOOKUP(INDIRECT(ADDRESS(2,COLUMN())),OFFSET($BN$2,0,0,ROW()-1,60),ROW()-1,FALSE))</f>
        <v/>
      </c>
      <c r="BB87" t="str">
        <f ca="1">IF(AND(ISNUMBER($BB$285),$B$185=1),$BB$285,HLOOKUP(INDIRECT(ADDRESS(2,COLUMN())),OFFSET($BN$2,0,0,ROW()-1,60),ROW()-1,FALSE))</f>
        <v/>
      </c>
      <c r="BC87" t="str">
        <f ca="1">IF(AND(ISNUMBER($BC$285),$B$185=1),$BC$285,HLOOKUP(INDIRECT(ADDRESS(2,COLUMN())),OFFSET($BN$2,0,0,ROW()-1,60),ROW()-1,FALSE))</f>
        <v/>
      </c>
      <c r="BD87" t="str">
        <f ca="1">IF(AND(ISNUMBER($BD$285),$B$185=1),$BD$285,HLOOKUP(INDIRECT(ADDRESS(2,COLUMN())),OFFSET($BN$2,0,0,ROW()-1,60),ROW()-1,FALSE))</f>
        <v/>
      </c>
      <c r="BE87" t="str">
        <f ca="1">IF(AND(ISNUMBER($BE$285),$B$185=1),$BE$285,HLOOKUP(INDIRECT(ADDRESS(2,COLUMN())),OFFSET($BN$2,0,0,ROW()-1,60),ROW()-1,FALSE))</f>
        <v/>
      </c>
      <c r="BF87" t="str">
        <f ca="1">IF(AND(ISNUMBER($BF$285),$B$185=1),$BF$285,HLOOKUP(INDIRECT(ADDRESS(2,COLUMN())),OFFSET($BN$2,0,0,ROW()-1,60),ROW()-1,FALSE))</f>
        <v/>
      </c>
      <c r="BG87" t="str">
        <f ca="1">IF(AND(ISNUMBER($BG$285),$B$185=1),$BG$285,HLOOKUP(INDIRECT(ADDRESS(2,COLUMN())),OFFSET($BN$2,0,0,ROW()-1,60),ROW()-1,FALSE))</f>
        <v/>
      </c>
      <c r="BH87" t="str">
        <f ca="1">IF(AND(ISNUMBER($BH$285),$B$185=1),$BH$285,HLOOKUP(INDIRECT(ADDRESS(2,COLUMN())),OFFSET($BN$2,0,0,ROW()-1,60),ROW()-1,FALSE))</f>
        <v/>
      </c>
      <c r="BI87" t="str">
        <f ca="1">IF(AND(ISNUMBER($BI$285),$B$185=1),$BI$285,HLOOKUP(INDIRECT(ADDRESS(2,COLUMN())),OFFSET($BN$2,0,0,ROW()-1,60),ROW()-1,FALSE))</f>
        <v/>
      </c>
      <c r="BJ87" t="str">
        <f ca="1">IF(AND(ISNUMBER($BJ$285),$B$185=1),$BJ$285,HLOOKUP(INDIRECT(ADDRESS(2,COLUMN())),OFFSET($BN$2,0,0,ROW()-1,60),ROW()-1,FALSE))</f>
        <v/>
      </c>
      <c r="BK87" t="str">
        <f ca="1">IF(AND(ISNUMBER($BK$285),$B$185=1),$BK$285,HLOOKUP(INDIRECT(ADDRESS(2,COLUMN())),OFFSET($BN$2,0,0,ROW()-1,60),ROW()-1,FALSE))</f>
        <v/>
      </c>
      <c r="BL87" t="str">
        <f ca="1">IF(AND(ISNUMBER($BL$285),$B$185=1),$BL$285,HLOOKUP(INDIRECT(ADDRESS(2,COLUMN())),OFFSET($BN$2,0,0,ROW()-1,60),ROW()-1,FALSE))</f>
        <v/>
      </c>
      <c r="BM87" t="str">
        <f ca="1">IF(AND(ISNUMBER($BM$285),$B$185=1),$BM$285,HLOOKUP(INDIRECT(ADDRESS(2,COLUMN())),OFFSET($BN$2,0,0,ROW()-1,60),ROW()-1,FALSE))</f>
        <v/>
      </c>
      <c r="BN87" t="str">
        <f>""</f>
        <v/>
      </c>
      <c r="BO87" t="str">
        <f>""</f>
        <v/>
      </c>
      <c r="BP87" t="str">
        <f>""</f>
        <v/>
      </c>
      <c r="BQ87" t="str">
        <f>""</f>
        <v/>
      </c>
      <c r="BR87" t="str">
        <f>""</f>
        <v/>
      </c>
      <c r="BS87" t="str">
        <f>""</f>
        <v/>
      </c>
      <c r="BT87" t="str">
        <f>""</f>
        <v/>
      </c>
      <c r="BU87" t="str">
        <f>""</f>
        <v/>
      </c>
      <c r="BV87" t="str">
        <f>""</f>
        <v/>
      </c>
      <c r="BW87" t="str">
        <f>""</f>
        <v/>
      </c>
      <c r="BX87" t="str">
        <f>""</f>
        <v/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""</f>
        <v/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  <c r="CI87" t="str">
        <f>""</f>
        <v/>
      </c>
      <c r="CJ87" t="str">
        <f>""</f>
        <v/>
      </c>
      <c r="CK87" t="str">
        <f>""</f>
        <v/>
      </c>
      <c r="CL87" t="str">
        <f>""</f>
        <v/>
      </c>
      <c r="CM87" t="str">
        <f>""</f>
        <v/>
      </c>
      <c r="CN87" t="str">
        <f>""</f>
        <v/>
      </c>
      <c r="CO87" t="str">
        <f>""</f>
        <v/>
      </c>
      <c r="CP87" t="str">
        <f>""</f>
        <v/>
      </c>
      <c r="CQ87" t="str">
        <f>""</f>
        <v/>
      </c>
      <c r="CR87" t="str">
        <f>""</f>
        <v/>
      </c>
      <c r="CS87" t="str">
        <f>""</f>
        <v/>
      </c>
      <c r="CT87" t="str">
        <f>""</f>
        <v/>
      </c>
      <c r="CU87" t="str">
        <f>""</f>
        <v/>
      </c>
      <c r="CV87" t="str">
        <f>""</f>
        <v/>
      </c>
      <c r="CW87" t="str">
        <f>""</f>
        <v/>
      </c>
      <c r="CX87" t="str">
        <f>""</f>
        <v/>
      </c>
      <c r="CY87" t="str">
        <f>""</f>
        <v/>
      </c>
      <c r="CZ87" t="str">
        <f>""</f>
        <v/>
      </c>
      <c r="DA87" t="str">
        <f>""</f>
        <v/>
      </c>
      <c r="DB87" t="str">
        <f>""</f>
        <v/>
      </c>
      <c r="DC87" t="str">
        <f>""</f>
        <v/>
      </c>
      <c r="DD87" t="str">
        <f>""</f>
        <v/>
      </c>
      <c r="DE87" t="str">
        <f>""</f>
        <v/>
      </c>
      <c r="DF87" t="str">
        <f>""</f>
        <v/>
      </c>
      <c r="DG87" t="str">
        <f>""</f>
        <v/>
      </c>
      <c r="DH87" t="str">
        <f>""</f>
        <v/>
      </c>
      <c r="DI87" t="str">
        <f>""</f>
        <v/>
      </c>
      <c r="DJ87" t="str">
        <f>""</f>
        <v/>
      </c>
      <c r="DK87" t="str">
        <f>""</f>
        <v/>
      </c>
      <c r="DL87" t="str">
        <f>""</f>
        <v/>
      </c>
      <c r="DM87" t="str">
        <f>""</f>
        <v/>
      </c>
      <c r="DN87" t="str">
        <f>""</f>
        <v/>
      </c>
      <c r="DO87" t="str">
        <f>""</f>
        <v/>
      </c>
      <c r="DP87" t="str">
        <f>""</f>
        <v/>
      </c>
      <c r="DQ87" t="str">
        <f>""</f>
        <v/>
      </c>
      <c r="DR87" t="str">
        <f>""</f>
        <v/>
      </c>
      <c r="DS87" t="str">
        <f>""</f>
        <v/>
      </c>
      <c r="DT87" t="str">
        <f>""</f>
        <v/>
      </c>
      <c r="DU87" t="str">
        <f>""</f>
        <v/>
      </c>
    </row>
    <row r="88" spans="1:125">
      <c r="A88" t="str">
        <f>"    First Republic Bank/CA"</f>
        <v xml:space="preserve">    First Republic Bank/CA</v>
      </c>
      <c r="B88" t="str">
        <f>"FRCB US Equity"</f>
        <v>FRCB US Equity</v>
      </c>
      <c r="C88" t="str">
        <f t="shared" si="10"/>
        <v>BS961</v>
      </c>
      <c r="D88" t="str">
        <f t="shared" si="11"/>
        <v>BS_RES_MTG_OWNED_SERVICED_PORT</v>
      </c>
      <c r="E88" t="str">
        <f t="shared" si="12"/>
        <v>Dynamic</v>
      </c>
      <c r="F88" t="str">
        <f ca="1">IF(AND(ISNUMBER($F$286),$B$185=1),$F$286,HLOOKUP(INDIRECT(ADDRESS(2,COLUMN())),OFFSET($BN$2,0,0,ROW()-1,60),ROW()-1,FALSE))</f>
        <v/>
      </c>
      <c r="G88" t="str">
        <f ca="1">IF(AND(ISNUMBER($G$286),$B$185=1),$G$286,HLOOKUP(INDIRECT(ADDRESS(2,COLUMN())),OFFSET($BN$2,0,0,ROW()-1,60),ROW()-1,FALSE))</f>
        <v/>
      </c>
      <c r="H88" t="str">
        <f ca="1">IF(AND(ISNUMBER($H$286),$B$185=1),$H$286,HLOOKUP(INDIRECT(ADDRESS(2,COLUMN())),OFFSET($BN$2,0,0,ROW()-1,60),ROW()-1,FALSE))</f>
        <v/>
      </c>
      <c r="I88" t="str">
        <f ca="1">IF(AND(ISNUMBER($I$286),$B$185=1),$I$286,HLOOKUP(INDIRECT(ADDRESS(2,COLUMN())),OFFSET($BN$2,0,0,ROW()-1,60),ROW()-1,FALSE))</f>
        <v/>
      </c>
      <c r="J88" t="str">
        <f ca="1">IF(AND(ISNUMBER($J$286),$B$185=1),$J$286,HLOOKUP(INDIRECT(ADDRESS(2,COLUMN())),OFFSET($BN$2,0,0,ROW()-1,60),ROW()-1,FALSE))</f>
        <v/>
      </c>
      <c r="K88" t="str">
        <f ca="1">IF(AND(ISNUMBER($K$286),$B$185=1),$K$286,HLOOKUP(INDIRECT(ADDRESS(2,COLUMN())),OFFSET($BN$2,0,0,ROW()-1,60),ROW()-1,FALSE))</f>
        <v/>
      </c>
      <c r="L88" t="str">
        <f ca="1">IF(AND(ISNUMBER($L$286),$B$185=1),$L$286,HLOOKUP(INDIRECT(ADDRESS(2,COLUMN())),OFFSET($BN$2,0,0,ROW()-1,60),ROW()-1,FALSE))</f>
        <v/>
      </c>
      <c r="M88" t="str">
        <f ca="1">IF(AND(ISNUMBER($M$286),$B$185=1),$M$286,HLOOKUP(INDIRECT(ADDRESS(2,COLUMN())),OFFSET($BN$2,0,0,ROW()-1,60),ROW()-1,FALSE))</f>
        <v/>
      </c>
      <c r="N88" t="str">
        <f ca="1">IF(AND(ISNUMBER($N$286),$B$185=1),$N$286,HLOOKUP(INDIRECT(ADDRESS(2,COLUMN())),OFFSET($BN$2,0,0,ROW()-1,60),ROW()-1,FALSE))</f>
        <v/>
      </c>
      <c r="O88" t="str">
        <f ca="1">IF(AND(ISNUMBER($O$286),$B$185=1),$O$286,HLOOKUP(INDIRECT(ADDRESS(2,COLUMN())),OFFSET($BN$2,0,0,ROW()-1,60),ROW()-1,FALSE))</f>
        <v/>
      </c>
      <c r="P88" t="str">
        <f ca="1">IF(AND(ISNUMBER($P$286),$B$185=1),$P$286,HLOOKUP(INDIRECT(ADDRESS(2,COLUMN())),OFFSET($BN$2,0,0,ROW()-1,60),ROW()-1,FALSE))</f>
        <v/>
      </c>
      <c r="Q88" t="str">
        <f ca="1">IF(AND(ISNUMBER($Q$286),$B$185=1),$Q$286,HLOOKUP(INDIRECT(ADDRESS(2,COLUMN())),OFFSET($BN$2,0,0,ROW()-1,60),ROW()-1,FALSE))</f>
        <v/>
      </c>
      <c r="R88" t="str">
        <f ca="1">IF(AND(ISNUMBER($R$286),$B$185=1),$R$286,HLOOKUP(INDIRECT(ADDRESS(2,COLUMN())),OFFSET($BN$2,0,0,ROW()-1,60),ROW()-1,FALSE))</f>
        <v/>
      </c>
      <c r="S88" t="str">
        <f ca="1">IF(AND(ISNUMBER($S$286),$B$185=1),$S$286,HLOOKUP(INDIRECT(ADDRESS(2,COLUMN())),OFFSET($BN$2,0,0,ROW()-1,60),ROW()-1,FALSE))</f>
        <v/>
      </c>
      <c r="T88" t="str">
        <f ca="1">IF(AND(ISNUMBER($T$286),$B$185=1),$T$286,HLOOKUP(INDIRECT(ADDRESS(2,COLUMN())),OFFSET($BN$2,0,0,ROW()-1,60),ROW()-1,FALSE))</f>
        <v/>
      </c>
      <c r="U88" t="str">
        <f ca="1">IF(AND(ISNUMBER($U$286),$B$185=1),$U$286,HLOOKUP(INDIRECT(ADDRESS(2,COLUMN())),OFFSET($BN$2,0,0,ROW()-1,60),ROW()-1,FALSE))</f>
        <v/>
      </c>
      <c r="V88" t="str">
        <f ca="1">IF(AND(ISNUMBER($V$286),$B$185=1),$V$286,HLOOKUP(INDIRECT(ADDRESS(2,COLUMN())),OFFSET($BN$2,0,0,ROW()-1,60),ROW()-1,FALSE))</f>
        <v/>
      </c>
      <c r="W88" t="str">
        <f ca="1">IF(AND(ISNUMBER($W$286),$B$185=1),$W$286,HLOOKUP(INDIRECT(ADDRESS(2,COLUMN())),OFFSET($BN$2,0,0,ROW()-1,60),ROW()-1,FALSE))</f>
        <v/>
      </c>
      <c r="X88" t="str">
        <f ca="1">IF(AND(ISNUMBER($X$286),$B$185=1),$X$286,HLOOKUP(INDIRECT(ADDRESS(2,COLUMN())),OFFSET($BN$2,0,0,ROW()-1,60),ROW()-1,FALSE))</f>
        <v/>
      </c>
      <c r="Y88" t="str">
        <f ca="1">IF(AND(ISNUMBER($Y$286),$B$185=1),$Y$286,HLOOKUP(INDIRECT(ADDRESS(2,COLUMN())),OFFSET($BN$2,0,0,ROW()-1,60),ROW()-1,FALSE))</f>
        <v/>
      </c>
      <c r="Z88" t="str">
        <f ca="1">IF(AND(ISNUMBER($Z$286),$B$185=1),$Z$286,HLOOKUP(INDIRECT(ADDRESS(2,COLUMN())),OFFSET($BN$2,0,0,ROW()-1,60),ROW()-1,FALSE))</f>
        <v/>
      </c>
      <c r="AA88" t="str">
        <f ca="1">IF(AND(ISNUMBER($AA$286),$B$185=1),$AA$286,HLOOKUP(INDIRECT(ADDRESS(2,COLUMN())),OFFSET($BN$2,0,0,ROW()-1,60),ROW()-1,FALSE))</f>
        <v/>
      </c>
      <c r="AB88" t="str">
        <f ca="1">IF(AND(ISNUMBER($AB$286),$B$185=1),$AB$286,HLOOKUP(INDIRECT(ADDRESS(2,COLUMN())),OFFSET($BN$2,0,0,ROW()-1,60),ROW()-1,FALSE))</f>
        <v/>
      </c>
      <c r="AC88" t="str">
        <f ca="1">IF(AND(ISNUMBER($AC$286),$B$185=1),$AC$286,HLOOKUP(INDIRECT(ADDRESS(2,COLUMN())),OFFSET($BN$2,0,0,ROW()-1,60),ROW()-1,FALSE))</f>
        <v/>
      </c>
      <c r="AD88" t="str">
        <f ca="1">IF(AND(ISNUMBER($AD$286),$B$185=1),$AD$286,HLOOKUP(INDIRECT(ADDRESS(2,COLUMN())),OFFSET($BN$2,0,0,ROW()-1,60),ROW()-1,FALSE))</f>
        <v/>
      </c>
      <c r="AE88" t="str">
        <f ca="1">IF(AND(ISNUMBER($AE$286),$B$185=1),$AE$286,HLOOKUP(INDIRECT(ADDRESS(2,COLUMN())),OFFSET($BN$2,0,0,ROW()-1,60),ROW()-1,FALSE))</f>
        <v/>
      </c>
      <c r="AF88" t="str">
        <f ca="1">IF(AND(ISNUMBER($AF$286),$B$185=1),$AF$286,HLOOKUP(INDIRECT(ADDRESS(2,COLUMN())),OFFSET($BN$2,0,0,ROW()-1,60),ROW()-1,FALSE))</f>
        <v/>
      </c>
      <c r="AG88" t="str">
        <f ca="1">IF(AND(ISNUMBER($AG$286),$B$185=1),$AG$286,HLOOKUP(INDIRECT(ADDRESS(2,COLUMN())),OFFSET($BN$2,0,0,ROW()-1,60),ROW()-1,FALSE))</f>
        <v/>
      </c>
      <c r="AH88" t="str">
        <f ca="1">IF(AND(ISNUMBER($AH$286),$B$185=1),$AH$286,HLOOKUP(INDIRECT(ADDRESS(2,COLUMN())),OFFSET($BN$2,0,0,ROW()-1,60),ROW()-1,FALSE))</f>
        <v/>
      </c>
      <c r="AI88" t="str">
        <f ca="1">IF(AND(ISNUMBER($AI$286),$B$185=1),$AI$286,HLOOKUP(INDIRECT(ADDRESS(2,COLUMN())),OFFSET($BN$2,0,0,ROW()-1,60),ROW()-1,FALSE))</f>
        <v/>
      </c>
      <c r="AJ88" t="str">
        <f ca="1">IF(AND(ISNUMBER($AJ$286),$B$185=1),$AJ$286,HLOOKUP(INDIRECT(ADDRESS(2,COLUMN())),OFFSET($BN$2,0,0,ROW()-1,60),ROW()-1,FALSE))</f>
        <v/>
      </c>
      <c r="AK88" t="str">
        <f ca="1">IF(AND(ISNUMBER($AK$286),$B$185=1),$AK$286,HLOOKUP(INDIRECT(ADDRESS(2,COLUMN())),OFFSET($BN$2,0,0,ROW()-1,60),ROW()-1,FALSE))</f>
        <v/>
      </c>
      <c r="AL88" t="str">
        <f ca="1">IF(AND(ISNUMBER($AL$286),$B$185=1),$AL$286,HLOOKUP(INDIRECT(ADDRESS(2,COLUMN())),OFFSET($BN$2,0,0,ROW()-1,60),ROW()-1,FALSE))</f>
        <v/>
      </c>
      <c r="AM88" t="str">
        <f ca="1">IF(AND(ISNUMBER($AM$286),$B$185=1),$AM$286,HLOOKUP(INDIRECT(ADDRESS(2,COLUMN())),OFFSET($BN$2,0,0,ROW()-1,60),ROW()-1,FALSE))</f>
        <v/>
      </c>
      <c r="AN88" t="str">
        <f ca="1">IF(AND(ISNUMBER($AN$286),$B$185=1),$AN$286,HLOOKUP(INDIRECT(ADDRESS(2,COLUMN())),OFFSET($BN$2,0,0,ROW()-1,60),ROW()-1,FALSE))</f>
        <v/>
      </c>
      <c r="AO88" t="str">
        <f ca="1">IF(AND(ISNUMBER($AO$286),$B$185=1),$AO$286,HLOOKUP(INDIRECT(ADDRESS(2,COLUMN())),OFFSET($BN$2,0,0,ROW()-1,60),ROW()-1,FALSE))</f>
        <v/>
      </c>
      <c r="AP88" t="str">
        <f ca="1">IF(AND(ISNUMBER($AP$286),$B$185=1),$AP$286,HLOOKUP(INDIRECT(ADDRESS(2,COLUMN())),OFFSET($BN$2,0,0,ROW()-1,60),ROW()-1,FALSE))</f>
        <v/>
      </c>
      <c r="AQ88" t="str">
        <f ca="1">IF(AND(ISNUMBER($AQ$286),$B$185=1),$AQ$286,HLOOKUP(INDIRECT(ADDRESS(2,COLUMN())),OFFSET($BN$2,0,0,ROW()-1,60),ROW()-1,FALSE))</f>
        <v/>
      </c>
      <c r="AR88" t="str">
        <f ca="1">IF(AND(ISNUMBER($AR$286),$B$185=1),$AR$286,HLOOKUP(INDIRECT(ADDRESS(2,COLUMN())),OFFSET($BN$2,0,0,ROW()-1,60),ROW()-1,FALSE))</f>
        <v/>
      </c>
      <c r="AS88" t="str">
        <f ca="1">IF(AND(ISNUMBER($AS$286),$B$185=1),$AS$286,HLOOKUP(INDIRECT(ADDRESS(2,COLUMN())),OFFSET($BN$2,0,0,ROW()-1,60),ROW()-1,FALSE))</f>
        <v/>
      </c>
      <c r="AT88" t="str">
        <f ca="1">IF(AND(ISNUMBER($AT$286),$B$185=1),$AT$286,HLOOKUP(INDIRECT(ADDRESS(2,COLUMN())),OFFSET($BN$2,0,0,ROW()-1,60),ROW()-1,FALSE))</f>
        <v/>
      </c>
      <c r="AU88" t="str">
        <f ca="1">IF(AND(ISNUMBER($AU$286),$B$185=1),$AU$286,HLOOKUP(INDIRECT(ADDRESS(2,COLUMN())),OFFSET($BN$2,0,0,ROW()-1,60),ROW()-1,FALSE))</f>
        <v/>
      </c>
      <c r="AV88" t="str">
        <f ca="1">IF(AND(ISNUMBER($AV$286),$B$185=1),$AV$286,HLOOKUP(INDIRECT(ADDRESS(2,COLUMN())),OFFSET($BN$2,0,0,ROW()-1,60),ROW()-1,FALSE))</f>
        <v/>
      </c>
      <c r="AW88" t="str">
        <f ca="1">IF(AND(ISNUMBER($AW$286),$B$185=1),$AW$286,HLOOKUP(INDIRECT(ADDRESS(2,COLUMN())),OFFSET($BN$2,0,0,ROW()-1,60),ROW()-1,FALSE))</f>
        <v/>
      </c>
      <c r="AX88" t="str">
        <f ca="1">IF(AND(ISNUMBER($AX$286),$B$185=1),$AX$286,HLOOKUP(INDIRECT(ADDRESS(2,COLUMN())),OFFSET($BN$2,0,0,ROW()-1,60),ROW()-1,FALSE))</f>
        <v/>
      </c>
      <c r="AY88" t="str">
        <f ca="1">IF(AND(ISNUMBER($AY$286),$B$185=1),$AY$286,HLOOKUP(INDIRECT(ADDRESS(2,COLUMN())),OFFSET($BN$2,0,0,ROW()-1,60),ROW()-1,FALSE))</f>
        <v/>
      </c>
      <c r="AZ88" t="str">
        <f ca="1">IF(AND(ISNUMBER($AZ$286),$B$185=1),$AZ$286,HLOOKUP(INDIRECT(ADDRESS(2,COLUMN())),OFFSET($BN$2,0,0,ROW()-1,60),ROW()-1,FALSE))</f>
        <v/>
      </c>
      <c r="BA88" t="str">
        <f ca="1">IF(AND(ISNUMBER($BA$286),$B$185=1),$BA$286,HLOOKUP(INDIRECT(ADDRESS(2,COLUMN())),OFFSET($BN$2,0,0,ROW()-1,60),ROW()-1,FALSE))</f>
        <v/>
      </c>
      <c r="BB88" t="str">
        <f ca="1">IF(AND(ISNUMBER($BB$286),$B$185=1),$BB$286,HLOOKUP(INDIRECT(ADDRESS(2,COLUMN())),OFFSET($BN$2,0,0,ROW()-1,60),ROW()-1,FALSE))</f>
        <v/>
      </c>
      <c r="BC88" t="str">
        <f ca="1">IF(AND(ISNUMBER($BC$286),$B$185=1),$BC$286,HLOOKUP(INDIRECT(ADDRESS(2,COLUMN())),OFFSET($BN$2,0,0,ROW()-1,60),ROW()-1,FALSE))</f>
        <v/>
      </c>
      <c r="BD88" t="str">
        <f ca="1">IF(AND(ISNUMBER($BD$286),$B$185=1),$BD$286,HLOOKUP(INDIRECT(ADDRESS(2,COLUMN())),OFFSET($BN$2,0,0,ROW()-1,60),ROW()-1,FALSE))</f>
        <v/>
      </c>
      <c r="BE88" t="str">
        <f ca="1">IF(AND(ISNUMBER($BE$286),$B$185=1),$BE$286,HLOOKUP(INDIRECT(ADDRESS(2,COLUMN())),OFFSET($BN$2,0,0,ROW()-1,60),ROW()-1,FALSE))</f>
        <v/>
      </c>
      <c r="BF88" t="str">
        <f ca="1">IF(AND(ISNUMBER($BF$286),$B$185=1),$BF$286,HLOOKUP(INDIRECT(ADDRESS(2,COLUMN())),OFFSET($BN$2,0,0,ROW()-1,60),ROW()-1,FALSE))</f>
        <v/>
      </c>
      <c r="BG88" t="str">
        <f ca="1">IF(AND(ISNUMBER($BG$286),$B$185=1),$BG$286,HLOOKUP(INDIRECT(ADDRESS(2,COLUMN())),OFFSET($BN$2,0,0,ROW()-1,60),ROW()-1,FALSE))</f>
        <v/>
      </c>
      <c r="BH88" t="str">
        <f ca="1">IF(AND(ISNUMBER($BH$286),$B$185=1),$BH$286,HLOOKUP(INDIRECT(ADDRESS(2,COLUMN())),OFFSET($BN$2,0,0,ROW()-1,60),ROW()-1,FALSE))</f>
        <v/>
      </c>
      <c r="BI88" t="str">
        <f ca="1">IF(AND(ISNUMBER($BI$286),$B$185=1),$BI$286,HLOOKUP(INDIRECT(ADDRESS(2,COLUMN())),OFFSET($BN$2,0,0,ROW()-1,60),ROW()-1,FALSE))</f>
        <v/>
      </c>
      <c r="BJ88" t="str">
        <f ca="1">IF(AND(ISNUMBER($BJ$286),$B$185=1),$BJ$286,HLOOKUP(INDIRECT(ADDRESS(2,COLUMN())),OFFSET($BN$2,0,0,ROW()-1,60),ROW()-1,FALSE))</f>
        <v/>
      </c>
      <c r="BK88" t="str">
        <f ca="1">IF(AND(ISNUMBER($BK$286),$B$185=1),$BK$286,HLOOKUP(INDIRECT(ADDRESS(2,COLUMN())),OFFSET($BN$2,0,0,ROW()-1,60),ROW()-1,FALSE))</f>
        <v/>
      </c>
      <c r="BL88" t="str">
        <f ca="1">IF(AND(ISNUMBER($BL$286),$B$185=1),$BL$286,HLOOKUP(INDIRECT(ADDRESS(2,COLUMN())),OFFSET($BN$2,0,0,ROW()-1,60),ROW()-1,FALSE))</f>
        <v/>
      </c>
      <c r="BM88" t="str">
        <f ca="1">IF(AND(ISNUMBER($BM$286),$B$185=1),$BM$286,HLOOKUP(INDIRECT(ADDRESS(2,COLUMN())),OFFSET($BN$2,0,0,ROW()-1,60),ROW()-1,FALSE))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  <c r="BT88" t="str">
        <f>""</f>
        <v/>
      </c>
      <c r="BU88" t="str">
        <f>""</f>
        <v/>
      </c>
      <c r="BV88" t="str">
        <f>""</f>
        <v/>
      </c>
      <c r="BW88" t="str">
        <f>""</f>
        <v/>
      </c>
      <c r="BX88" t="str">
        <f>""</f>
        <v/>
      </c>
      <c r="BY88" t="str">
        <f>""</f>
        <v/>
      </c>
      <c r="BZ88" t="str">
        <f>""</f>
        <v/>
      </c>
      <c r="CA88" t="str">
        <f>""</f>
        <v/>
      </c>
      <c r="CB88" t="str">
        <f>""</f>
        <v/>
      </c>
      <c r="CC88" t="str">
        <f>""</f>
        <v/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  <c r="CH88" t="str">
        <f>""</f>
        <v/>
      </c>
      <c r="CI88" t="str">
        <f>""</f>
        <v/>
      </c>
      <c r="CJ88" t="str">
        <f>""</f>
        <v/>
      </c>
      <c r="CK88" t="str">
        <f>""</f>
        <v/>
      </c>
      <c r="CL88" t="str">
        <f>""</f>
        <v/>
      </c>
      <c r="CM88" t="str">
        <f>""</f>
        <v/>
      </c>
      <c r="CN88" t="str">
        <f>""</f>
        <v/>
      </c>
      <c r="CO88" t="str">
        <f>""</f>
        <v/>
      </c>
      <c r="CP88" t="str">
        <f>""</f>
        <v/>
      </c>
      <c r="CQ88" t="str">
        <f>""</f>
        <v/>
      </c>
      <c r="CR88" t="str">
        <f>""</f>
        <v/>
      </c>
      <c r="CS88" t="str">
        <f>""</f>
        <v/>
      </c>
      <c r="CT88" t="str">
        <f>""</f>
        <v/>
      </c>
      <c r="CU88" t="str">
        <f>""</f>
        <v/>
      </c>
      <c r="CV88" t="str">
        <f>""</f>
        <v/>
      </c>
      <c r="CW88" t="str">
        <f>""</f>
        <v/>
      </c>
      <c r="CX88" t="str">
        <f>""</f>
        <v/>
      </c>
      <c r="CY88" t="str">
        <f>""</f>
        <v/>
      </c>
      <c r="CZ88" t="str">
        <f>""</f>
        <v/>
      </c>
      <c r="DA88" t="str">
        <f>""</f>
        <v/>
      </c>
      <c r="DB88" t="str">
        <f>""</f>
        <v/>
      </c>
      <c r="DC88" t="str">
        <f>""</f>
        <v/>
      </c>
      <c r="DD88" t="str">
        <f>""</f>
        <v/>
      </c>
      <c r="DE88" t="str">
        <f>""</f>
        <v/>
      </c>
      <c r="DF88" t="str">
        <f>""</f>
        <v/>
      </c>
      <c r="DG88" t="str">
        <f>""</f>
        <v/>
      </c>
      <c r="DH88" t="str">
        <f>""</f>
        <v/>
      </c>
      <c r="DI88" t="str">
        <f>""</f>
        <v/>
      </c>
      <c r="DJ88" t="str">
        <f>""</f>
        <v/>
      </c>
      <c r="DK88" t="str">
        <f>""</f>
        <v/>
      </c>
      <c r="DL88" t="str">
        <f>""</f>
        <v/>
      </c>
      <c r="DM88" t="str">
        <f>""</f>
        <v/>
      </c>
      <c r="DN88" t="str">
        <f>""</f>
        <v/>
      </c>
      <c r="DO88" t="str">
        <f>""</f>
        <v/>
      </c>
      <c r="DP88" t="str">
        <f>""</f>
        <v/>
      </c>
      <c r="DQ88" t="str">
        <f>""</f>
        <v/>
      </c>
      <c r="DR88" t="str">
        <f>""</f>
        <v/>
      </c>
      <c r="DS88" t="str">
        <f>""</f>
        <v/>
      </c>
      <c r="DT88" t="str">
        <f>""</f>
        <v/>
      </c>
      <c r="DU88" t="str">
        <f>""</f>
        <v/>
      </c>
    </row>
    <row r="89" spans="1:125">
      <c r="A89" t="str">
        <f>"    Fifth Third Bancorp"</f>
        <v xml:space="preserve">    Fifth Third Bancorp</v>
      </c>
      <c r="B89" t="str">
        <f>"FITB US Equity"</f>
        <v>FITB US Equity</v>
      </c>
      <c r="C89" t="str">
        <f t="shared" si="10"/>
        <v>BS961</v>
      </c>
      <c r="D89" t="str">
        <f t="shared" si="11"/>
        <v>BS_RES_MTG_OWNED_SERVICED_PORT</v>
      </c>
      <c r="E89" t="str">
        <f t="shared" si="12"/>
        <v>Dynamic</v>
      </c>
      <c r="F89">
        <f ca="1">IF(AND(ISNUMBER($F$287),$B$185=1),$F$287,HLOOKUP(INDIRECT(ADDRESS(2,COLUMN())),OFFSET($BN$2,0,0,ROW()-1,60),ROW()-1,FALSE))</f>
        <v>110900</v>
      </c>
      <c r="G89">
        <f ca="1">IF(AND(ISNUMBER($G$287),$B$185=1),$G$287,HLOOKUP(INDIRECT(ADDRESS(2,COLUMN())),OFFSET($BN$2,0,0,ROW()-1,60),ROW()-1,FALSE))</f>
        <v>112400</v>
      </c>
      <c r="H89">
        <f ca="1">IF(AND(ISNUMBER($H$287),$B$185=1),$H$287,HLOOKUP(INDIRECT(ADDRESS(2,COLUMN())),OFFSET($BN$2,0,0,ROW()-1,60),ROW()-1,FALSE))</f>
        <v>113700</v>
      </c>
      <c r="I89">
        <f ca="1">IF(AND(ISNUMBER($I$287),$B$185=1),$I$287,HLOOKUP(INDIRECT(ADDRESS(2,COLUMN())),OFFSET($BN$2,0,0,ROW()-1,60),ROW()-1,FALSE))</f>
        <v>115700</v>
      </c>
      <c r="J89">
        <f ca="1">IF(AND(ISNUMBER($J$287),$B$185=1),$J$287,HLOOKUP(INDIRECT(ADDRESS(2,COLUMN())),OFFSET($BN$2,0,0,ROW()-1,60),ROW()-1,FALSE))</f>
        <v>117000</v>
      </c>
      <c r="K89">
        <f ca="1">IF(AND(ISNUMBER($K$287),$B$185=1),$K$287,HLOOKUP(INDIRECT(ADDRESS(2,COLUMN())),OFFSET($BN$2,0,0,ROW()-1,60),ROW()-1,FALSE))</f>
        <v>118500</v>
      </c>
      <c r="L89">
        <f ca="1">IF(AND(ISNUMBER($L$287),$B$185=1),$L$287,HLOOKUP(INDIRECT(ADDRESS(2,COLUMN())),OFFSET($BN$2,0,0,ROW()-1,60),ROW()-1,FALSE))</f>
        <v>119700</v>
      </c>
      <c r="M89">
        <f ca="1">IF(AND(ISNUMBER($M$287),$B$185=1),$M$287,HLOOKUP(INDIRECT(ADDRESS(2,COLUMN())),OFFSET($BN$2,0,0,ROW()-1,60),ROW()-1,FALSE))</f>
        <v>120400</v>
      </c>
      <c r="N89">
        <f ca="1">IF(AND(ISNUMBER($N$287),$B$185=1),$N$287,HLOOKUP(INDIRECT(ADDRESS(2,COLUMN())),OFFSET($BN$2,0,0,ROW()-1,60),ROW()-1,FALSE))</f>
        <v>120200</v>
      </c>
      <c r="O89">
        <f ca="1">IF(AND(ISNUMBER($O$287),$B$185=1),$O$287,HLOOKUP(INDIRECT(ADDRESS(2,COLUMN())),OFFSET($BN$2,0,0,ROW()-1,60),ROW()-1,FALSE))</f>
        <v>120300</v>
      </c>
      <c r="P89">
        <f ca="1">IF(AND(ISNUMBER($P$287),$B$185=1),$P$287,HLOOKUP(INDIRECT(ADDRESS(2,COLUMN())),OFFSET($BN$2,0,0,ROW()-1,60),ROW()-1,FALSE))</f>
        <v>118200</v>
      </c>
      <c r="Q89">
        <f ca="1">IF(AND(ISNUMBER($Q$287),$B$185=1),$Q$287,HLOOKUP(INDIRECT(ADDRESS(2,COLUMN())),OFFSET($BN$2,0,0,ROW()-1,60),ROW()-1,FALSE))</f>
        <v>114500</v>
      </c>
      <c r="R89">
        <f ca="1">IF(AND(ISNUMBER($R$287),$B$185=1),$R$287,HLOOKUP(INDIRECT(ADDRESS(2,COLUMN())),OFFSET($BN$2,0,0,ROW()-1,60),ROW()-1,FALSE))</f>
        <v>106800</v>
      </c>
      <c r="S89">
        <f ca="1">IF(AND(ISNUMBER($S$287),$B$185=1),$S$287,HLOOKUP(INDIRECT(ADDRESS(2,COLUMN())),OFFSET($BN$2,0,0,ROW()-1,60),ROW()-1,FALSE))</f>
        <v>14800</v>
      </c>
      <c r="T89">
        <f ca="1">IF(AND(ISNUMBER($T$287),$B$185=1),$T$287,HLOOKUP(INDIRECT(ADDRESS(2,COLUMN())),OFFSET($BN$2,0,0,ROW()-1,60),ROW()-1,FALSE))</f>
        <v>21.5</v>
      </c>
      <c r="U89">
        <f ca="1">IF(AND(ISNUMBER($U$287),$B$185=1),$U$287,HLOOKUP(INDIRECT(ADDRESS(2,COLUMN())),OFFSET($BN$2,0,0,ROW()-1,60),ROW()-1,FALSE))</f>
        <v>86700</v>
      </c>
      <c r="V89">
        <f ca="1">IF(AND(ISNUMBER($V$287),$B$185=1),$V$287,HLOOKUP(INDIRECT(ADDRESS(2,COLUMN())),OFFSET($BN$2,0,0,ROW()-1,60),ROW()-1,FALSE))</f>
        <v>86600</v>
      </c>
      <c r="W89">
        <f ca="1">IF(AND(ISNUMBER($W$287),$B$185=1),$W$287,HLOOKUP(INDIRECT(ADDRESS(2,COLUMN())),OFFSET($BN$2,0,0,ROW()-1,60),ROW()-1,FALSE))</f>
        <v>17900</v>
      </c>
      <c r="X89">
        <f ca="1">IF(AND(ISNUMBER($X$287),$B$185=1),$X$287,HLOOKUP(INDIRECT(ADDRESS(2,COLUMN())),OFFSET($BN$2,0,0,ROW()-1,60),ROW()-1,FALSE))</f>
        <v>16600</v>
      </c>
      <c r="Y89">
        <f ca="1">IF(AND(ISNUMBER($Y$287),$B$185=1),$Y$287,HLOOKUP(INDIRECT(ADDRESS(2,COLUMN())),OFFSET($BN$2,0,0,ROW()-1,60),ROW()-1,FALSE))</f>
        <v>0</v>
      </c>
      <c r="Z89">
        <f ca="1">IF(AND(ISNUMBER($Z$287),$B$185=1),$Z$287,HLOOKUP(INDIRECT(ADDRESS(2,COLUMN())),OFFSET($BN$2,0,0,ROW()-1,60),ROW()-1,FALSE))</f>
        <v>17666</v>
      </c>
      <c r="AA89">
        <f ca="1">IF(AND(ISNUMBER($AA$287),$B$185=1),$AA$287,HLOOKUP(INDIRECT(ADDRESS(2,COLUMN())),OFFSET($BN$2,0,0,ROW()-1,60),ROW()-1,FALSE))</f>
        <v>99438</v>
      </c>
      <c r="AB89">
        <f ca="1">IF(AND(ISNUMBER($AB$287),$B$185=1),$AB$287,HLOOKUP(INDIRECT(ADDRESS(2,COLUMN())),OFFSET($BN$2,0,0,ROW()-1,60),ROW()-1,FALSE))</f>
        <v>187000</v>
      </c>
      <c r="AC89">
        <f ca="1">IF(AND(ISNUMBER($AC$287),$B$185=1),$AC$287,HLOOKUP(INDIRECT(ADDRESS(2,COLUMN())),OFFSET($BN$2,0,0,ROW()-1,60),ROW()-1,FALSE))</f>
        <v>0</v>
      </c>
      <c r="AD89">
        <f ca="1">IF(AND(ISNUMBER($AD$287),$B$185=1),$AD$287,HLOOKUP(INDIRECT(ADDRESS(2,COLUMN())),OFFSET($BN$2,0,0,ROW()-1,60),ROW()-1,FALSE))</f>
        <v>16046</v>
      </c>
      <c r="AE89">
        <f ca="1">IF(AND(ISNUMBER($AE$287),$B$185=1),$AE$287,HLOOKUP(INDIRECT(ADDRESS(2,COLUMN())),OFFSET($BN$2,0,0,ROW()-1,60),ROW()-1,FALSE))</f>
        <v>16100</v>
      </c>
      <c r="AF89">
        <f ca="1">IF(AND(ISNUMBER($AF$287),$B$185=1),$AF$287,HLOOKUP(INDIRECT(ADDRESS(2,COLUMN())),OFFSET($BN$2,0,0,ROW()-1,60),ROW()-1,FALSE))</f>
        <v>16300</v>
      </c>
      <c r="AG89">
        <f ca="1">IF(AND(ISNUMBER($AG$287),$B$185=1),$AG$287,HLOOKUP(INDIRECT(ADDRESS(2,COLUMN())),OFFSET($BN$2,0,0,ROW()-1,60),ROW()-1,FALSE))</f>
        <v>0</v>
      </c>
      <c r="AH89">
        <f ca="1">IF(AND(ISNUMBER($AH$287),$B$185=1),$AH$287,HLOOKUP(INDIRECT(ADDRESS(2,COLUMN())),OFFSET($BN$2,0,0,ROW()-1,60),ROW()-1,FALSE))</f>
        <v>16079</v>
      </c>
      <c r="AI89">
        <f ca="1">IF(AND(ISNUMBER($AI$287),$B$185=1),$AI$287,HLOOKUP(INDIRECT(ADDRESS(2,COLUMN())),OFFSET($BN$2,0,0,ROW()-1,60),ROW()-1,FALSE))</f>
        <v>16300</v>
      </c>
      <c r="AJ89">
        <f ca="1">IF(AND(ISNUMBER($AJ$287),$B$185=1),$AJ$287,HLOOKUP(INDIRECT(ADDRESS(2,COLUMN())),OFFSET($BN$2,0,0,ROW()-1,60),ROW()-1,FALSE))</f>
        <v>16200</v>
      </c>
      <c r="AK89">
        <f ca="1">IF(AND(ISNUMBER($AK$287),$B$185=1),$AK$287,HLOOKUP(INDIRECT(ADDRESS(2,COLUMN())),OFFSET($BN$2,0,0,ROW()-1,60),ROW()-1,FALSE))</f>
        <v>0</v>
      </c>
      <c r="AL89">
        <f ca="1">IF(AND(ISNUMBER($AL$287),$B$185=1),$AL$287,HLOOKUP(INDIRECT(ADDRESS(2,COLUMN())),OFFSET($BN$2,0,0,ROW()-1,60),ROW()-1,FALSE))</f>
        <v>15746</v>
      </c>
      <c r="AM89">
        <f ca="1">IF(AND(ISNUMBER($AM$287),$B$185=1),$AM$287,HLOOKUP(INDIRECT(ADDRESS(2,COLUMN())),OFFSET($BN$2,0,0,ROW()-1,60),ROW()-1,FALSE))</f>
        <v>15600</v>
      </c>
      <c r="AN89">
        <f ca="1">IF(AND(ISNUMBER($AN$287),$B$185=1),$AN$287,HLOOKUP(INDIRECT(ADDRESS(2,COLUMN())),OFFSET($BN$2,0,0,ROW()-1,60),ROW()-1,FALSE))</f>
        <v>15100</v>
      </c>
      <c r="AO89">
        <f ca="1">IF(AND(ISNUMBER($AO$287),$B$185=1),$AO$287,HLOOKUP(INDIRECT(ADDRESS(2,COLUMN())),OFFSET($BN$2,0,0,ROW()-1,60),ROW()-1,FALSE))</f>
        <v>14500</v>
      </c>
      <c r="AP89">
        <f ca="1">IF(AND(ISNUMBER($AP$287),$B$185=1),$AP$287,HLOOKUP(INDIRECT(ADDRESS(2,COLUMN())),OFFSET($BN$2,0,0,ROW()-1,60),ROW()-1,FALSE))</f>
        <v>14400</v>
      </c>
      <c r="AQ89">
        <f ca="1">IF(AND(ISNUMBER($AQ$287),$B$185=1),$AQ$287,HLOOKUP(INDIRECT(ADDRESS(2,COLUMN())),OFFSET($BN$2,0,0,ROW()-1,60),ROW()-1,FALSE))</f>
        <v>14200</v>
      </c>
      <c r="AR89">
        <f ca="1">IF(AND(ISNUMBER($AR$287),$B$185=1),$AR$287,HLOOKUP(INDIRECT(ADDRESS(2,COLUMN())),OFFSET($BN$2,0,0,ROW()-1,60),ROW()-1,FALSE))</f>
        <v>13700</v>
      </c>
      <c r="AS89">
        <f ca="1">IF(AND(ISNUMBER($AS$287),$B$185=1),$AS$287,HLOOKUP(INDIRECT(ADDRESS(2,COLUMN())),OFFSET($BN$2,0,0,ROW()-1,60),ROW()-1,FALSE))</f>
        <v>13.2</v>
      </c>
      <c r="AT89">
        <f ca="1">IF(AND(ISNUMBER($AT$287),$B$185=1),$AT$287,HLOOKUP(INDIRECT(ADDRESS(2,COLUMN())),OFFSET($BN$2,0,0,ROW()-1,60),ROW()-1,FALSE))</f>
        <v>79000</v>
      </c>
      <c r="AU89" t="str">
        <f ca="1">IF(AND(ISNUMBER($AU$287),$B$185=1),$AU$287,HLOOKUP(INDIRECT(ADDRESS(2,COLUMN())),OFFSET($BN$2,0,0,ROW()-1,60),ROW()-1,FALSE))</f>
        <v/>
      </c>
      <c r="AV89">
        <f ca="1">IF(AND(ISNUMBER($AV$287),$B$185=1),$AV$287,HLOOKUP(INDIRECT(ADDRESS(2,COLUMN())),OFFSET($BN$2,0,0,ROW()-1,60),ROW()-1,FALSE))</f>
        <v>13200</v>
      </c>
      <c r="AW89">
        <f ca="1">IF(AND(ISNUMBER($AW$287),$B$185=1),$AW$287,HLOOKUP(INDIRECT(ADDRESS(2,COLUMN())),OFFSET($BN$2,0,0,ROW()-1,60),ROW()-1,FALSE))</f>
        <v>13300</v>
      </c>
      <c r="AX89">
        <f ca="1">IF(AND(ISNUMBER($AX$287),$B$185=1),$AX$287,HLOOKUP(INDIRECT(ADDRESS(2,COLUMN())),OFFSET($BN$2,0,0,ROW()-1,60),ROW()-1,FALSE))</f>
        <v>13500</v>
      </c>
      <c r="AY89">
        <f ca="1">IF(AND(ISNUMBER($AY$287),$B$185=1),$AY$287,HLOOKUP(INDIRECT(ADDRESS(2,COLUMN())),OFFSET($BN$2,0,0,ROW()-1,60),ROW()-1,FALSE))</f>
        <v>11600</v>
      </c>
      <c r="AZ89">
        <f ca="1">IF(AND(ISNUMBER($AZ$287),$B$185=1),$AZ$287,HLOOKUP(INDIRECT(ADDRESS(2,COLUMN())),OFFSET($BN$2,0,0,ROW()-1,60),ROW()-1,FALSE))</f>
        <v>11600</v>
      </c>
      <c r="BA89">
        <f ca="1">IF(AND(ISNUMBER($BA$287),$B$185=1),$BA$287,HLOOKUP(INDIRECT(ADDRESS(2,COLUMN())),OFFSET($BN$2,0,0,ROW()-1,60),ROW()-1,FALSE))</f>
        <v>14700</v>
      </c>
      <c r="BB89">
        <f ca="1">IF(AND(ISNUMBER($BB$287),$B$185=1),$BB$287,HLOOKUP(INDIRECT(ADDRESS(2,COLUMN())),OFFSET($BN$2,0,0,ROW()-1,60),ROW()-1,FALSE))</f>
        <v>14800</v>
      </c>
      <c r="BC89">
        <f ca="1">IF(AND(ISNUMBER($BC$287),$B$185=1),$BC$287,HLOOKUP(INDIRECT(ADDRESS(2,COLUMN())),OFFSET($BN$2,0,0,ROW()-1,60),ROW()-1,FALSE))</f>
        <v>11700</v>
      </c>
      <c r="BD89">
        <f ca="1">IF(AND(ISNUMBER($BD$287),$B$185=1),$BD$287,HLOOKUP(INDIRECT(ADDRESS(2,COLUMN())),OFFSET($BN$2,0,0,ROW()-1,60),ROW()-1,FALSE))</f>
        <v>11700</v>
      </c>
      <c r="BE89">
        <f ca="1">IF(AND(ISNUMBER($BE$287),$B$185=1),$BE$287,HLOOKUP(INDIRECT(ADDRESS(2,COLUMN())),OFFSET($BN$2,0,0,ROW()-1,60),ROW()-1,FALSE))</f>
        <v>12500</v>
      </c>
      <c r="BF89">
        <f ca="1">IF(AND(ISNUMBER($BF$287),$B$185=1),$BF$287,HLOOKUP(INDIRECT(ADDRESS(2,COLUMN())),OFFSET($BN$2,0,0,ROW()-1,60),ROW()-1,FALSE))</f>
        <v>13500</v>
      </c>
      <c r="BG89">
        <f ca="1">IF(AND(ISNUMBER($BG$287),$B$185=1),$BG$287,HLOOKUP(INDIRECT(ADDRESS(2,COLUMN())),OFFSET($BN$2,0,0,ROW()-1,60),ROW()-1,FALSE))</f>
        <v>11900</v>
      </c>
      <c r="BH89">
        <f ca="1">IF(AND(ISNUMBER($BH$287),$B$185=1),$BH$287,HLOOKUP(INDIRECT(ADDRESS(2,COLUMN())),OFFSET($BN$2,0,0,ROW()-1,60),ROW()-1,FALSE))</f>
        <v>10800</v>
      </c>
      <c r="BI89">
        <f ca="1">IF(AND(ISNUMBER($BI$287),$B$185=1),$BI$287,HLOOKUP(INDIRECT(ADDRESS(2,COLUMN())),OFFSET($BN$2,0,0,ROW()-1,60),ROW()-1,FALSE))</f>
        <v>10600</v>
      </c>
      <c r="BJ89">
        <f ca="1">IF(AND(ISNUMBER($BJ$287),$B$185=1),$BJ$287,HLOOKUP(INDIRECT(ADDRESS(2,COLUMN())),OFFSET($BN$2,0,0,ROW()-1,60),ROW()-1,FALSE))</f>
        <v>9000</v>
      </c>
      <c r="BK89">
        <f ca="1">IF(AND(ISNUMBER($BK$287),$B$185=1),$BK$287,HLOOKUP(INDIRECT(ADDRESS(2,COLUMN())),OFFSET($BN$2,0,0,ROW()-1,60),ROW()-1,FALSE))</f>
        <v>10000</v>
      </c>
      <c r="BL89">
        <f ca="1">IF(AND(ISNUMBER($BL$287),$B$185=1),$BL$287,HLOOKUP(INDIRECT(ADDRESS(2,COLUMN())),OFFSET($BN$2,0,0,ROW()-1,60),ROW()-1,FALSE))</f>
        <v>9700</v>
      </c>
      <c r="BM89" t="str">
        <f ca="1">IF(AND(ISNUMBER($BM$287),$B$185=1),$BM$287,HLOOKUP(INDIRECT(ADDRESS(2,COLUMN())),OFFSET($BN$2,0,0,ROW()-1,60),ROW()-1,FALSE))</f>
        <v/>
      </c>
      <c r="BN89">
        <f>110900</f>
        <v>110900</v>
      </c>
      <c r="BO89">
        <f>112400</f>
        <v>112400</v>
      </c>
      <c r="BP89">
        <f>113700</f>
        <v>113700</v>
      </c>
      <c r="BQ89">
        <f>115700</f>
        <v>115700</v>
      </c>
      <c r="BR89">
        <f>117000</f>
        <v>117000</v>
      </c>
      <c r="BS89">
        <f>118500</f>
        <v>118500</v>
      </c>
      <c r="BT89">
        <f>119700</f>
        <v>119700</v>
      </c>
      <c r="BU89">
        <f>120400</f>
        <v>120400</v>
      </c>
      <c r="BV89">
        <f>120200</f>
        <v>120200</v>
      </c>
      <c r="BW89">
        <f>120300</f>
        <v>120300</v>
      </c>
      <c r="BX89">
        <f>118200</f>
        <v>118200</v>
      </c>
      <c r="BY89">
        <f>114500</f>
        <v>114500</v>
      </c>
      <c r="BZ89">
        <f>106800</f>
        <v>106800</v>
      </c>
      <c r="CA89">
        <f>14800</f>
        <v>14800</v>
      </c>
      <c r="CB89">
        <f>21.5</f>
        <v>21.5</v>
      </c>
      <c r="CC89">
        <f>86700</f>
        <v>86700</v>
      </c>
      <c r="CD89">
        <f>86600</f>
        <v>86600</v>
      </c>
      <c r="CE89">
        <f>17900</f>
        <v>17900</v>
      </c>
      <c r="CF89">
        <f>16600</f>
        <v>16600</v>
      </c>
      <c r="CG89">
        <f>0</f>
        <v>0</v>
      </c>
      <c r="CH89">
        <f>17666</f>
        <v>17666</v>
      </c>
      <c r="CI89">
        <f>99438</f>
        <v>99438</v>
      </c>
      <c r="CJ89">
        <f>187000</f>
        <v>187000</v>
      </c>
      <c r="CK89">
        <f>0</f>
        <v>0</v>
      </c>
      <c r="CL89">
        <f>16046</f>
        <v>16046</v>
      </c>
      <c r="CM89">
        <f>16100</f>
        <v>16100</v>
      </c>
      <c r="CN89">
        <f>16300</f>
        <v>16300</v>
      </c>
      <c r="CO89">
        <f>0</f>
        <v>0</v>
      </c>
      <c r="CP89">
        <f>16079</f>
        <v>16079</v>
      </c>
      <c r="CQ89">
        <f>16300</f>
        <v>16300</v>
      </c>
      <c r="CR89">
        <f>16200</f>
        <v>16200</v>
      </c>
      <c r="CS89">
        <f>0</f>
        <v>0</v>
      </c>
      <c r="CT89">
        <f>15746</f>
        <v>15746</v>
      </c>
      <c r="CU89">
        <f>15600</f>
        <v>15600</v>
      </c>
      <c r="CV89">
        <f>15100</f>
        <v>15100</v>
      </c>
      <c r="CW89">
        <f>14500</f>
        <v>14500</v>
      </c>
      <c r="CX89">
        <f>14400</f>
        <v>14400</v>
      </c>
      <c r="CY89">
        <f>14200</f>
        <v>14200</v>
      </c>
      <c r="CZ89">
        <f>13700</f>
        <v>13700</v>
      </c>
      <c r="DA89">
        <f>13.2</f>
        <v>13.2</v>
      </c>
      <c r="DB89">
        <f>79000</f>
        <v>79000</v>
      </c>
      <c r="DC89" t="str">
        <f>""</f>
        <v/>
      </c>
      <c r="DD89">
        <f>13200</f>
        <v>13200</v>
      </c>
      <c r="DE89">
        <f>13300</f>
        <v>13300</v>
      </c>
      <c r="DF89">
        <f>13500</f>
        <v>13500</v>
      </c>
      <c r="DG89">
        <f>11600</f>
        <v>11600</v>
      </c>
      <c r="DH89">
        <f>11600</f>
        <v>11600</v>
      </c>
      <c r="DI89">
        <f>14700</f>
        <v>14700</v>
      </c>
      <c r="DJ89">
        <f>14800</f>
        <v>14800</v>
      </c>
      <c r="DK89">
        <f>11700</f>
        <v>11700</v>
      </c>
      <c r="DL89">
        <f>11700</f>
        <v>11700</v>
      </c>
      <c r="DM89">
        <f>12500</f>
        <v>12500</v>
      </c>
      <c r="DN89">
        <f>13500</f>
        <v>13500</v>
      </c>
      <c r="DO89">
        <f>11900</f>
        <v>11900</v>
      </c>
      <c r="DP89">
        <f>10800</f>
        <v>10800</v>
      </c>
      <c r="DQ89">
        <f>10600</f>
        <v>10600</v>
      </c>
      <c r="DR89">
        <f>9000</f>
        <v>9000</v>
      </c>
      <c r="DS89">
        <f>10000</f>
        <v>10000</v>
      </c>
      <c r="DT89">
        <f>9700</f>
        <v>9700</v>
      </c>
      <c r="DU89" t="str">
        <f>""</f>
        <v/>
      </c>
    </row>
    <row r="90" spans="1:125">
      <c r="A90" t="str">
        <f>"    First Citizens BancShares Inc/"</f>
        <v xml:space="preserve">    First Citizens BancShares Inc/</v>
      </c>
      <c r="B90" t="str">
        <f>"FCNCA US Equity"</f>
        <v>FCNCA US Equity</v>
      </c>
      <c r="C90" t="str">
        <f t="shared" si="10"/>
        <v>BS961</v>
      </c>
      <c r="D90" t="str">
        <f t="shared" si="11"/>
        <v>BS_RES_MTG_OWNED_SERVICED_PORT</v>
      </c>
      <c r="E90" t="str">
        <f t="shared" si="12"/>
        <v>Dynamic</v>
      </c>
      <c r="F90" t="str">
        <f ca="1">IF(AND(ISNUMBER($F$288),$B$185=1),$F$288,HLOOKUP(INDIRECT(ADDRESS(2,COLUMN())),OFFSET($BN$2,0,0,ROW()-1,60),ROW()-1,FALSE))</f>
        <v/>
      </c>
      <c r="G90" t="str">
        <f ca="1">IF(AND(ISNUMBER($G$288),$B$185=1),$G$288,HLOOKUP(INDIRECT(ADDRESS(2,COLUMN())),OFFSET($BN$2,0,0,ROW()-1,60),ROW()-1,FALSE))</f>
        <v/>
      </c>
      <c r="H90" t="str">
        <f ca="1">IF(AND(ISNUMBER($H$288),$B$185=1),$H$288,HLOOKUP(INDIRECT(ADDRESS(2,COLUMN())),OFFSET($BN$2,0,0,ROW()-1,60),ROW()-1,FALSE))</f>
        <v/>
      </c>
      <c r="I90" t="str">
        <f ca="1">IF(AND(ISNUMBER($I$288),$B$185=1),$I$288,HLOOKUP(INDIRECT(ADDRESS(2,COLUMN())),OFFSET($BN$2,0,0,ROW()-1,60),ROW()-1,FALSE))</f>
        <v/>
      </c>
      <c r="J90" t="str">
        <f ca="1">IF(AND(ISNUMBER($J$288),$B$185=1),$J$288,HLOOKUP(INDIRECT(ADDRESS(2,COLUMN())),OFFSET($BN$2,0,0,ROW()-1,60),ROW()-1,FALSE))</f>
        <v/>
      </c>
      <c r="K90" t="str">
        <f ca="1">IF(AND(ISNUMBER($K$288),$B$185=1),$K$288,HLOOKUP(INDIRECT(ADDRESS(2,COLUMN())),OFFSET($BN$2,0,0,ROW()-1,60),ROW()-1,FALSE))</f>
        <v/>
      </c>
      <c r="L90" t="str">
        <f ca="1">IF(AND(ISNUMBER($L$288),$B$185=1),$L$288,HLOOKUP(INDIRECT(ADDRESS(2,COLUMN())),OFFSET($BN$2,0,0,ROW()-1,60),ROW()-1,FALSE))</f>
        <v/>
      </c>
      <c r="M90" t="str">
        <f ca="1">IF(AND(ISNUMBER($M$288),$B$185=1),$M$288,HLOOKUP(INDIRECT(ADDRESS(2,COLUMN())),OFFSET($BN$2,0,0,ROW()-1,60),ROW()-1,FALSE))</f>
        <v/>
      </c>
      <c r="N90" t="str">
        <f ca="1">IF(AND(ISNUMBER($N$288),$B$185=1),$N$288,HLOOKUP(INDIRECT(ADDRESS(2,COLUMN())),OFFSET($BN$2,0,0,ROW()-1,60),ROW()-1,FALSE))</f>
        <v/>
      </c>
      <c r="O90" t="str">
        <f ca="1">IF(AND(ISNUMBER($O$288),$B$185=1),$O$288,HLOOKUP(INDIRECT(ADDRESS(2,COLUMN())),OFFSET($BN$2,0,0,ROW()-1,60),ROW()-1,FALSE))</f>
        <v/>
      </c>
      <c r="P90" t="str">
        <f ca="1">IF(AND(ISNUMBER($P$288),$B$185=1),$P$288,HLOOKUP(INDIRECT(ADDRESS(2,COLUMN())),OFFSET($BN$2,0,0,ROW()-1,60),ROW()-1,FALSE))</f>
        <v/>
      </c>
      <c r="Q90" t="str">
        <f ca="1">IF(AND(ISNUMBER($Q$288),$B$185=1),$Q$288,HLOOKUP(INDIRECT(ADDRESS(2,COLUMN())),OFFSET($BN$2,0,0,ROW()-1,60),ROW()-1,FALSE))</f>
        <v/>
      </c>
      <c r="R90" t="str">
        <f ca="1">IF(AND(ISNUMBER($R$288),$B$185=1),$R$288,HLOOKUP(INDIRECT(ADDRESS(2,COLUMN())),OFFSET($BN$2,0,0,ROW()-1,60),ROW()-1,FALSE))</f>
        <v/>
      </c>
      <c r="S90" t="str">
        <f ca="1">IF(AND(ISNUMBER($S$288),$B$185=1),$S$288,HLOOKUP(INDIRECT(ADDRESS(2,COLUMN())),OFFSET($BN$2,0,0,ROW()-1,60),ROW()-1,FALSE))</f>
        <v/>
      </c>
      <c r="T90" t="str">
        <f ca="1">IF(AND(ISNUMBER($T$288),$B$185=1),$T$288,HLOOKUP(INDIRECT(ADDRESS(2,COLUMN())),OFFSET($BN$2,0,0,ROW()-1,60),ROW()-1,FALSE))</f>
        <v/>
      </c>
      <c r="U90" t="str">
        <f ca="1">IF(AND(ISNUMBER($U$288),$B$185=1),$U$288,HLOOKUP(INDIRECT(ADDRESS(2,COLUMN())),OFFSET($BN$2,0,0,ROW()-1,60),ROW()-1,FALSE))</f>
        <v/>
      </c>
      <c r="V90" t="str">
        <f ca="1">IF(AND(ISNUMBER($V$288),$B$185=1),$V$288,HLOOKUP(INDIRECT(ADDRESS(2,COLUMN())),OFFSET($BN$2,0,0,ROW()-1,60),ROW()-1,FALSE))</f>
        <v/>
      </c>
      <c r="W90" t="str">
        <f ca="1">IF(AND(ISNUMBER($W$288),$B$185=1),$W$288,HLOOKUP(INDIRECT(ADDRESS(2,COLUMN())),OFFSET($BN$2,0,0,ROW()-1,60),ROW()-1,FALSE))</f>
        <v/>
      </c>
      <c r="X90" t="str">
        <f ca="1">IF(AND(ISNUMBER($X$288),$B$185=1),$X$288,HLOOKUP(INDIRECT(ADDRESS(2,COLUMN())),OFFSET($BN$2,0,0,ROW()-1,60),ROW()-1,FALSE))</f>
        <v/>
      </c>
      <c r="Y90" t="str">
        <f ca="1">IF(AND(ISNUMBER($Y$288),$B$185=1),$Y$288,HLOOKUP(INDIRECT(ADDRESS(2,COLUMN())),OFFSET($BN$2,0,0,ROW()-1,60),ROW()-1,FALSE))</f>
        <v/>
      </c>
      <c r="Z90" t="str">
        <f ca="1">IF(AND(ISNUMBER($Z$288),$B$185=1),$Z$288,HLOOKUP(INDIRECT(ADDRESS(2,COLUMN())),OFFSET($BN$2,0,0,ROW()-1,60),ROW()-1,FALSE))</f>
        <v/>
      </c>
      <c r="AA90" t="str">
        <f ca="1">IF(AND(ISNUMBER($AA$288),$B$185=1),$AA$288,HLOOKUP(INDIRECT(ADDRESS(2,COLUMN())),OFFSET($BN$2,0,0,ROW()-1,60),ROW()-1,FALSE))</f>
        <v/>
      </c>
      <c r="AB90" t="str">
        <f ca="1">IF(AND(ISNUMBER($AB$288),$B$185=1),$AB$288,HLOOKUP(INDIRECT(ADDRESS(2,COLUMN())),OFFSET($BN$2,0,0,ROW()-1,60),ROW()-1,FALSE))</f>
        <v/>
      </c>
      <c r="AC90" t="str">
        <f ca="1">IF(AND(ISNUMBER($AC$288),$B$185=1),$AC$288,HLOOKUP(INDIRECT(ADDRESS(2,COLUMN())),OFFSET($BN$2,0,0,ROW()-1,60),ROW()-1,FALSE))</f>
        <v/>
      </c>
      <c r="AD90" t="str">
        <f ca="1">IF(AND(ISNUMBER($AD$288),$B$185=1),$AD$288,HLOOKUP(INDIRECT(ADDRESS(2,COLUMN())),OFFSET($BN$2,0,0,ROW()-1,60),ROW()-1,FALSE))</f>
        <v/>
      </c>
      <c r="AE90" t="str">
        <f ca="1">IF(AND(ISNUMBER($AE$288),$B$185=1),$AE$288,HLOOKUP(INDIRECT(ADDRESS(2,COLUMN())),OFFSET($BN$2,0,0,ROW()-1,60),ROW()-1,FALSE))</f>
        <v/>
      </c>
      <c r="AF90" t="str">
        <f ca="1">IF(AND(ISNUMBER($AF$288),$B$185=1),$AF$288,HLOOKUP(INDIRECT(ADDRESS(2,COLUMN())),OFFSET($BN$2,0,0,ROW()-1,60),ROW()-1,FALSE))</f>
        <v/>
      </c>
      <c r="AG90" t="str">
        <f ca="1">IF(AND(ISNUMBER($AG$288),$B$185=1),$AG$288,HLOOKUP(INDIRECT(ADDRESS(2,COLUMN())),OFFSET($BN$2,0,0,ROW()-1,60),ROW()-1,FALSE))</f>
        <v/>
      </c>
      <c r="AH90" t="str">
        <f ca="1">IF(AND(ISNUMBER($AH$288),$B$185=1),$AH$288,HLOOKUP(INDIRECT(ADDRESS(2,COLUMN())),OFFSET($BN$2,0,0,ROW()-1,60),ROW()-1,FALSE))</f>
        <v/>
      </c>
      <c r="AI90" t="str">
        <f ca="1">IF(AND(ISNUMBER($AI$288),$B$185=1),$AI$288,HLOOKUP(INDIRECT(ADDRESS(2,COLUMN())),OFFSET($BN$2,0,0,ROW()-1,60),ROW()-1,FALSE))</f>
        <v/>
      </c>
      <c r="AJ90" t="str">
        <f ca="1">IF(AND(ISNUMBER($AJ$288),$B$185=1),$AJ$288,HLOOKUP(INDIRECT(ADDRESS(2,COLUMN())),OFFSET($BN$2,0,0,ROW()-1,60),ROW()-1,FALSE))</f>
        <v/>
      </c>
      <c r="AK90" t="str">
        <f ca="1">IF(AND(ISNUMBER($AK$288),$B$185=1),$AK$288,HLOOKUP(INDIRECT(ADDRESS(2,COLUMN())),OFFSET($BN$2,0,0,ROW()-1,60),ROW()-1,FALSE))</f>
        <v/>
      </c>
      <c r="AL90" t="str">
        <f ca="1">IF(AND(ISNUMBER($AL$288),$B$185=1),$AL$288,HLOOKUP(INDIRECT(ADDRESS(2,COLUMN())),OFFSET($BN$2,0,0,ROW()-1,60),ROW()-1,FALSE))</f>
        <v/>
      </c>
      <c r="AM90" t="str">
        <f ca="1">IF(AND(ISNUMBER($AM$288),$B$185=1),$AM$288,HLOOKUP(INDIRECT(ADDRESS(2,COLUMN())),OFFSET($BN$2,0,0,ROW()-1,60),ROW()-1,FALSE))</f>
        <v/>
      </c>
      <c r="AN90" t="str">
        <f ca="1">IF(AND(ISNUMBER($AN$288),$B$185=1),$AN$288,HLOOKUP(INDIRECT(ADDRESS(2,COLUMN())),OFFSET($BN$2,0,0,ROW()-1,60),ROW()-1,FALSE))</f>
        <v/>
      </c>
      <c r="AO90" t="str">
        <f ca="1">IF(AND(ISNUMBER($AO$288),$B$185=1),$AO$288,HLOOKUP(INDIRECT(ADDRESS(2,COLUMN())),OFFSET($BN$2,0,0,ROW()-1,60),ROW()-1,FALSE))</f>
        <v/>
      </c>
      <c r="AP90" t="str">
        <f ca="1">IF(AND(ISNUMBER($AP$288),$B$185=1),$AP$288,HLOOKUP(INDIRECT(ADDRESS(2,COLUMN())),OFFSET($BN$2,0,0,ROW()-1,60),ROW()-1,FALSE))</f>
        <v/>
      </c>
      <c r="AQ90" t="str">
        <f ca="1">IF(AND(ISNUMBER($AQ$288),$B$185=1),$AQ$288,HLOOKUP(INDIRECT(ADDRESS(2,COLUMN())),OFFSET($BN$2,0,0,ROW()-1,60),ROW()-1,FALSE))</f>
        <v/>
      </c>
      <c r="AR90" t="str">
        <f ca="1">IF(AND(ISNUMBER($AR$288),$B$185=1),$AR$288,HLOOKUP(INDIRECT(ADDRESS(2,COLUMN())),OFFSET($BN$2,0,0,ROW()-1,60),ROW()-1,FALSE))</f>
        <v/>
      </c>
      <c r="AS90" t="str">
        <f ca="1">IF(AND(ISNUMBER($AS$288),$B$185=1),$AS$288,HLOOKUP(INDIRECT(ADDRESS(2,COLUMN())),OFFSET($BN$2,0,0,ROW()-1,60),ROW()-1,FALSE))</f>
        <v/>
      </c>
      <c r="AT90" t="str">
        <f ca="1">IF(AND(ISNUMBER($AT$288),$B$185=1),$AT$288,HLOOKUP(INDIRECT(ADDRESS(2,COLUMN())),OFFSET($BN$2,0,0,ROW()-1,60),ROW()-1,FALSE))</f>
        <v/>
      </c>
      <c r="AU90" t="str">
        <f ca="1">IF(AND(ISNUMBER($AU$288),$B$185=1),$AU$288,HLOOKUP(INDIRECT(ADDRESS(2,COLUMN())),OFFSET($BN$2,0,0,ROW()-1,60),ROW()-1,FALSE))</f>
        <v/>
      </c>
      <c r="AV90" t="str">
        <f ca="1">IF(AND(ISNUMBER($AV$288),$B$185=1),$AV$288,HLOOKUP(INDIRECT(ADDRESS(2,COLUMN())),OFFSET($BN$2,0,0,ROW()-1,60),ROW()-1,FALSE))</f>
        <v/>
      </c>
      <c r="AW90" t="str">
        <f ca="1">IF(AND(ISNUMBER($AW$288),$B$185=1),$AW$288,HLOOKUP(INDIRECT(ADDRESS(2,COLUMN())),OFFSET($BN$2,0,0,ROW()-1,60),ROW()-1,FALSE))</f>
        <v/>
      </c>
      <c r="AX90" t="str">
        <f ca="1">IF(AND(ISNUMBER($AX$288),$B$185=1),$AX$288,HLOOKUP(INDIRECT(ADDRESS(2,COLUMN())),OFFSET($BN$2,0,0,ROW()-1,60),ROW()-1,FALSE))</f>
        <v/>
      </c>
      <c r="AY90" t="str">
        <f ca="1">IF(AND(ISNUMBER($AY$288),$B$185=1),$AY$288,HLOOKUP(INDIRECT(ADDRESS(2,COLUMN())),OFFSET($BN$2,0,0,ROW()-1,60),ROW()-1,FALSE))</f>
        <v/>
      </c>
      <c r="AZ90" t="str">
        <f ca="1">IF(AND(ISNUMBER($AZ$288),$B$185=1),$AZ$288,HLOOKUP(INDIRECT(ADDRESS(2,COLUMN())),OFFSET($BN$2,0,0,ROW()-1,60),ROW()-1,FALSE))</f>
        <v/>
      </c>
      <c r="BA90" t="str">
        <f ca="1">IF(AND(ISNUMBER($BA$288),$B$185=1),$BA$288,HLOOKUP(INDIRECT(ADDRESS(2,COLUMN())),OFFSET($BN$2,0,0,ROW()-1,60),ROW()-1,FALSE))</f>
        <v/>
      </c>
      <c r="BB90" t="str">
        <f ca="1">IF(AND(ISNUMBER($BB$288),$B$185=1),$BB$288,HLOOKUP(INDIRECT(ADDRESS(2,COLUMN())),OFFSET($BN$2,0,0,ROW()-1,60),ROW()-1,FALSE))</f>
        <v/>
      </c>
      <c r="BC90" t="str">
        <f ca="1">IF(AND(ISNUMBER($BC$288),$B$185=1),$BC$288,HLOOKUP(INDIRECT(ADDRESS(2,COLUMN())),OFFSET($BN$2,0,0,ROW()-1,60),ROW()-1,FALSE))</f>
        <v/>
      </c>
      <c r="BD90" t="str">
        <f ca="1">IF(AND(ISNUMBER($BD$288),$B$185=1),$BD$288,HLOOKUP(INDIRECT(ADDRESS(2,COLUMN())),OFFSET($BN$2,0,0,ROW()-1,60),ROW()-1,FALSE))</f>
        <v/>
      </c>
      <c r="BE90" t="str">
        <f ca="1">IF(AND(ISNUMBER($BE$288),$B$185=1),$BE$288,HLOOKUP(INDIRECT(ADDRESS(2,COLUMN())),OFFSET($BN$2,0,0,ROW()-1,60),ROW()-1,FALSE))</f>
        <v/>
      </c>
      <c r="BF90" t="str">
        <f ca="1">IF(AND(ISNUMBER($BF$288),$B$185=1),$BF$288,HLOOKUP(INDIRECT(ADDRESS(2,COLUMN())),OFFSET($BN$2,0,0,ROW()-1,60),ROW()-1,FALSE))</f>
        <v/>
      </c>
      <c r="BG90" t="str">
        <f ca="1">IF(AND(ISNUMBER($BG$288),$B$185=1),$BG$288,HLOOKUP(INDIRECT(ADDRESS(2,COLUMN())),OFFSET($BN$2,0,0,ROW()-1,60),ROW()-1,FALSE))</f>
        <v/>
      </c>
      <c r="BH90" t="str">
        <f ca="1">IF(AND(ISNUMBER($BH$288),$B$185=1),$BH$288,HLOOKUP(INDIRECT(ADDRESS(2,COLUMN())),OFFSET($BN$2,0,0,ROW()-1,60),ROW()-1,FALSE))</f>
        <v/>
      </c>
      <c r="BI90" t="str">
        <f ca="1">IF(AND(ISNUMBER($BI$288),$B$185=1),$BI$288,HLOOKUP(INDIRECT(ADDRESS(2,COLUMN())),OFFSET($BN$2,0,0,ROW()-1,60),ROW()-1,FALSE))</f>
        <v/>
      </c>
      <c r="BJ90" t="str">
        <f ca="1">IF(AND(ISNUMBER($BJ$288),$B$185=1),$BJ$288,HLOOKUP(INDIRECT(ADDRESS(2,COLUMN())),OFFSET($BN$2,0,0,ROW()-1,60),ROW()-1,FALSE))</f>
        <v/>
      </c>
      <c r="BK90" t="str">
        <f ca="1">IF(AND(ISNUMBER($BK$288),$B$185=1),$BK$288,HLOOKUP(INDIRECT(ADDRESS(2,COLUMN())),OFFSET($BN$2,0,0,ROW()-1,60),ROW()-1,FALSE))</f>
        <v/>
      </c>
      <c r="BL90" t="str">
        <f ca="1">IF(AND(ISNUMBER($BL$288),$B$185=1),$BL$288,HLOOKUP(INDIRECT(ADDRESS(2,COLUMN())),OFFSET($BN$2,0,0,ROW()-1,60),ROW()-1,FALSE))</f>
        <v/>
      </c>
      <c r="BM90" t="str">
        <f ca="1">IF(AND(ISNUMBER($BM$288),$B$185=1),$BM$288,HLOOKUP(INDIRECT(ADDRESS(2,COLUMN())),OFFSET($BN$2,0,0,ROW()-1,60),ROW()-1,FALSE))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  <c r="BT90" t="str">
        <f>""</f>
        <v/>
      </c>
      <c r="BU90" t="str">
        <f>""</f>
        <v/>
      </c>
      <c r="BV90" t="str">
        <f>""</f>
        <v/>
      </c>
      <c r="BW90" t="str">
        <f>""</f>
        <v/>
      </c>
      <c r="BX90" t="str">
        <f>""</f>
        <v/>
      </c>
      <c r="BY90" t="str">
        <f>""</f>
        <v/>
      </c>
      <c r="BZ90" t="str">
        <f>""</f>
        <v/>
      </c>
      <c r="CA90" t="str">
        <f>""</f>
        <v/>
      </c>
      <c r="CB90" t="str">
        <f>""</f>
        <v/>
      </c>
      <c r="CC90" t="str">
        <f>""</f>
        <v/>
      </c>
      <c r="CD90" t="str">
        <f>""</f>
        <v/>
      </c>
      <c r="CE90" t="str">
        <f>""</f>
        <v/>
      </c>
      <c r="CF90" t="str">
        <f>""</f>
        <v/>
      </c>
      <c r="CG90" t="str">
        <f>""</f>
        <v/>
      </c>
      <c r="CH90" t="str">
        <f>""</f>
        <v/>
      </c>
      <c r="CI90" t="str">
        <f>""</f>
        <v/>
      </c>
      <c r="CJ90" t="str">
        <f>""</f>
        <v/>
      </c>
      <c r="CK90" t="str">
        <f>""</f>
        <v/>
      </c>
      <c r="CL90" t="str">
        <f>""</f>
        <v/>
      </c>
      <c r="CM90" t="str">
        <f>""</f>
        <v/>
      </c>
      <c r="CN90" t="str">
        <f>""</f>
        <v/>
      </c>
      <c r="CO90" t="str">
        <f>""</f>
        <v/>
      </c>
      <c r="CP90" t="str">
        <f>""</f>
        <v/>
      </c>
      <c r="CQ90" t="str">
        <f>""</f>
        <v/>
      </c>
      <c r="CR90" t="str">
        <f>""</f>
        <v/>
      </c>
      <c r="CS90" t="str">
        <f>""</f>
        <v/>
      </c>
      <c r="CT90" t="str">
        <f>""</f>
        <v/>
      </c>
      <c r="CU90" t="str">
        <f>""</f>
        <v/>
      </c>
      <c r="CV90" t="str">
        <f>""</f>
        <v/>
      </c>
      <c r="CW90" t="str">
        <f>""</f>
        <v/>
      </c>
      <c r="CX90" t="str">
        <f>""</f>
        <v/>
      </c>
      <c r="CY90" t="str">
        <f>""</f>
        <v/>
      </c>
      <c r="CZ90" t="str">
        <f>""</f>
        <v/>
      </c>
      <c r="DA90" t="str">
        <f>""</f>
        <v/>
      </c>
      <c r="DB90" t="str">
        <f>""</f>
        <v/>
      </c>
      <c r="DC90" t="str">
        <f>""</f>
        <v/>
      </c>
      <c r="DD90" t="str">
        <f>""</f>
        <v/>
      </c>
      <c r="DE90" t="str">
        <f>""</f>
        <v/>
      </c>
      <c r="DF90" t="str">
        <f>""</f>
        <v/>
      </c>
      <c r="DG90" t="str">
        <f>""</f>
        <v/>
      </c>
      <c r="DH90" t="str">
        <f>""</f>
        <v/>
      </c>
      <c r="DI90" t="str">
        <f>""</f>
        <v/>
      </c>
      <c r="DJ90" t="str">
        <f>""</f>
        <v/>
      </c>
      <c r="DK90" t="str">
        <f>""</f>
        <v/>
      </c>
      <c r="DL90" t="str">
        <f>""</f>
        <v/>
      </c>
      <c r="DM90" t="str">
        <f>""</f>
        <v/>
      </c>
      <c r="DN90" t="str">
        <f>""</f>
        <v/>
      </c>
      <c r="DO90" t="str">
        <f>""</f>
        <v/>
      </c>
      <c r="DP90" t="str">
        <f>""</f>
        <v/>
      </c>
      <c r="DQ90" t="str">
        <f>""</f>
        <v/>
      </c>
      <c r="DR90" t="str">
        <f>""</f>
        <v/>
      </c>
      <c r="DS90" t="str">
        <f>""</f>
        <v/>
      </c>
      <c r="DT90" t="str">
        <f>""</f>
        <v/>
      </c>
      <c r="DU90" t="str">
        <f>""</f>
        <v/>
      </c>
    </row>
    <row r="91" spans="1:125">
      <c r="A91" t="str">
        <f>"    Flagstar Financial Inc"</f>
        <v xml:space="preserve">    Flagstar Financial Inc</v>
      </c>
      <c r="B91" t="str">
        <f>"FLG US Equity"</f>
        <v>FLG US Equity</v>
      </c>
      <c r="C91" t="str">
        <f t="shared" si="10"/>
        <v>BS961</v>
      </c>
      <c r="D91" t="str">
        <f t="shared" si="11"/>
        <v>BS_RES_MTG_OWNED_SERVICED_PORT</v>
      </c>
      <c r="E91" t="str">
        <f t="shared" si="12"/>
        <v>Dynamic</v>
      </c>
      <c r="F91" t="str">
        <f ca="1">IF(AND(ISNUMBER($F$289),$B$185=1),$F$289,HLOOKUP(INDIRECT(ADDRESS(2,COLUMN())),OFFSET($BN$2,0,0,ROW()-1,60),ROW()-1,FALSE))</f>
        <v/>
      </c>
      <c r="G91" t="str">
        <f ca="1">IF(AND(ISNUMBER($G$289),$B$185=1),$G$289,HLOOKUP(INDIRECT(ADDRESS(2,COLUMN())),OFFSET($BN$2,0,0,ROW()-1,60),ROW()-1,FALSE))</f>
        <v/>
      </c>
      <c r="H91" t="str">
        <f ca="1">IF(AND(ISNUMBER($H$289),$B$185=1),$H$289,HLOOKUP(INDIRECT(ADDRESS(2,COLUMN())),OFFSET($BN$2,0,0,ROW()-1,60),ROW()-1,FALSE))</f>
        <v/>
      </c>
      <c r="I91" t="str">
        <f ca="1">IF(AND(ISNUMBER($I$289),$B$185=1),$I$289,HLOOKUP(INDIRECT(ADDRESS(2,COLUMN())),OFFSET($BN$2,0,0,ROW()-1,60),ROW()-1,FALSE))</f>
        <v/>
      </c>
      <c r="J91" t="str">
        <f ca="1">IF(AND(ISNUMBER($J$289),$B$185=1),$J$289,HLOOKUP(INDIRECT(ADDRESS(2,COLUMN())),OFFSET($BN$2,0,0,ROW()-1,60),ROW()-1,FALSE))</f>
        <v/>
      </c>
      <c r="K91" t="str">
        <f ca="1">IF(AND(ISNUMBER($K$289),$B$185=1),$K$289,HLOOKUP(INDIRECT(ADDRESS(2,COLUMN())),OFFSET($BN$2,0,0,ROW()-1,60),ROW()-1,FALSE))</f>
        <v/>
      </c>
      <c r="L91" t="str">
        <f ca="1">IF(AND(ISNUMBER($L$289),$B$185=1),$L$289,HLOOKUP(INDIRECT(ADDRESS(2,COLUMN())),OFFSET($BN$2,0,0,ROW()-1,60),ROW()-1,FALSE))</f>
        <v/>
      </c>
      <c r="M91" t="str">
        <f ca="1">IF(AND(ISNUMBER($M$289),$B$185=1),$M$289,HLOOKUP(INDIRECT(ADDRESS(2,COLUMN())),OFFSET($BN$2,0,0,ROW()-1,60),ROW()-1,FALSE))</f>
        <v/>
      </c>
      <c r="N91" t="str">
        <f ca="1">IF(AND(ISNUMBER($N$289),$B$185=1),$N$289,HLOOKUP(INDIRECT(ADDRESS(2,COLUMN())),OFFSET($BN$2,0,0,ROW()-1,60),ROW()-1,FALSE))</f>
        <v/>
      </c>
      <c r="O91" t="str">
        <f ca="1">IF(AND(ISNUMBER($O$289),$B$185=1),$O$289,HLOOKUP(INDIRECT(ADDRESS(2,COLUMN())),OFFSET($BN$2,0,0,ROW()-1,60),ROW()-1,FALSE))</f>
        <v/>
      </c>
      <c r="P91" t="str">
        <f ca="1">IF(AND(ISNUMBER($P$289),$B$185=1),$P$289,HLOOKUP(INDIRECT(ADDRESS(2,COLUMN())),OFFSET($BN$2,0,0,ROW()-1,60),ROW()-1,FALSE))</f>
        <v/>
      </c>
      <c r="Q91" t="str">
        <f ca="1">IF(AND(ISNUMBER($Q$289),$B$185=1),$Q$289,HLOOKUP(INDIRECT(ADDRESS(2,COLUMN())),OFFSET($BN$2,0,0,ROW()-1,60),ROW()-1,FALSE))</f>
        <v/>
      </c>
      <c r="R91" t="str">
        <f ca="1">IF(AND(ISNUMBER($R$289),$B$185=1),$R$289,HLOOKUP(INDIRECT(ADDRESS(2,COLUMN())),OFFSET($BN$2,0,0,ROW()-1,60),ROW()-1,FALSE))</f>
        <v/>
      </c>
      <c r="S91" t="str">
        <f ca="1">IF(AND(ISNUMBER($S$289),$B$185=1),$S$289,HLOOKUP(INDIRECT(ADDRESS(2,COLUMN())),OFFSET($BN$2,0,0,ROW()-1,60),ROW()-1,FALSE))</f>
        <v/>
      </c>
      <c r="T91" t="str">
        <f ca="1">IF(AND(ISNUMBER($T$289),$B$185=1),$T$289,HLOOKUP(INDIRECT(ADDRESS(2,COLUMN())),OFFSET($BN$2,0,0,ROW()-1,60),ROW()-1,FALSE))</f>
        <v/>
      </c>
      <c r="U91" t="str">
        <f ca="1">IF(AND(ISNUMBER($U$289),$B$185=1),$U$289,HLOOKUP(INDIRECT(ADDRESS(2,COLUMN())),OFFSET($BN$2,0,0,ROW()-1,60),ROW()-1,FALSE))</f>
        <v/>
      </c>
      <c r="V91" t="str">
        <f ca="1">IF(AND(ISNUMBER($V$289),$B$185=1),$V$289,HLOOKUP(INDIRECT(ADDRESS(2,COLUMN())),OFFSET($BN$2,0,0,ROW()-1,60),ROW()-1,FALSE))</f>
        <v/>
      </c>
      <c r="W91" t="str">
        <f ca="1">IF(AND(ISNUMBER($W$289),$B$185=1),$W$289,HLOOKUP(INDIRECT(ADDRESS(2,COLUMN())),OFFSET($BN$2,0,0,ROW()-1,60),ROW()-1,FALSE))</f>
        <v/>
      </c>
      <c r="X91" t="str">
        <f ca="1">IF(AND(ISNUMBER($X$289),$B$185=1),$X$289,HLOOKUP(INDIRECT(ADDRESS(2,COLUMN())),OFFSET($BN$2,0,0,ROW()-1,60),ROW()-1,FALSE))</f>
        <v/>
      </c>
      <c r="Y91" t="str">
        <f ca="1">IF(AND(ISNUMBER($Y$289),$B$185=1),$Y$289,HLOOKUP(INDIRECT(ADDRESS(2,COLUMN())),OFFSET($BN$2,0,0,ROW()-1,60),ROW()-1,FALSE))</f>
        <v/>
      </c>
      <c r="Z91" t="str">
        <f ca="1">IF(AND(ISNUMBER($Z$289),$B$185=1),$Z$289,HLOOKUP(INDIRECT(ADDRESS(2,COLUMN())),OFFSET($BN$2,0,0,ROW()-1,60),ROW()-1,FALSE))</f>
        <v/>
      </c>
      <c r="AA91" t="str">
        <f ca="1">IF(AND(ISNUMBER($AA$289),$B$185=1),$AA$289,HLOOKUP(INDIRECT(ADDRESS(2,COLUMN())),OFFSET($BN$2,0,0,ROW()-1,60),ROW()-1,FALSE))</f>
        <v/>
      </c>
      <c r="AB91" t="str">
        <f ca="1">IF(AND(ISNUMBER($AB$289),$B$185=1),$AB$289,HLOOKUP(INDIRECT(ADDRESS(2,COLUMN())),OFFSET($BN$2,0,0,ROW()-1,60),ROW()-1,FALSE))</f>
        <v/>
      </c>
      <c r="AC91" t="str">
        <f ca="1">IF(AND(ISNUMBER($AC$289),$B$185=1),$AC$289,HLOOKUP(INDIRECT(ADDRESS(2,COLUMN())),OFFSET($BN$2,0,0,ROW()-1,60),ROW()-1,FALSE))</f>
        <v/>
      </c>
      <c r="AD91" t="str">
        <f ca="1">IF(AND(ISNUMBER($AD$289),$B$185=1),$AD$289,HLOOKUP(INDIRECT(ADDRESS(2,COLUMN())),OFFSET($BN$2,0,0,ROW()-1,60),ROW()-1,FALSE))</f>
        <v/>
      </c>
      <c r="AE91" t="str">
        <f ca="1">IF(AND(ISNUMBER($AE$289),$B$185=1),$AE$289,HLOOKUP(INDIRECT(ADDRESS(2,COLUMN())),OFFSET($BN$2,0,0,ROW()-1,60),ROW()-1,FALSE))</f>
        <v/>
      </c>
      <c r="AF91" t="str">
        <f ca="1">IF(AND(ISNUMBER($AF$289),$B$185=1),$AF$289,HLOOKUP(INDIRECT(ADDRESS(2,COLUMN())),OFFSET($BN$2,0,0,ROW()-1,60),ROW()-1,FALSE))</f>
        <v/>
      </c>
      <c r="AG91" t="str">
        <f ca="1">IF(AND(ISNUMBER($AG$289),$B$185=1),$AG$289,HLOOKUP(INDIRECT(ADDRESS(2,COLUMN())),OFFSET($BN$2,0,0,ROW()-1,60),ROW()-1,FALSE))</f>
        <v/>
      </c>
      <c r="AH91" t="str">
        <f ca="1">IF(AND(ISNUMBER($AH$289),$B$185=1),$AH$289,HLOOKUP(INDIRECT(ADDRESS(2,COLUMN())),OFFSET($BN$2,0,0,ROW()-1,60),ROW()-1,FALSE))</f>
        <v/>
      </c>
      <c r="AI91" t="str">
        <f ca="1">IF(AND(ISNUMBER($AI$289),$B$185=1),$AI$289,HLOOKUP(INDIRECT(ADDRESS(2,COLUMN())),OFFSET($BN$2,0,0,ROW()-1,60),ROW()-1,FALSE))</f>
        <v/>
      </c>
      <c r="AJ91" t="str">
        <f ca="1">IF(AND(ISNUMBER($AJ$289),$B$185=1),$AJ$289,HLOOKUP(INDIRECT(ADDRESS(2,COLUMN())),OFFSET($BN$2,0,0,ROW()-1,60),ROW()-1,FALSE))</f>
        <v/>
      </c>
      <c r="AK91" t="str">
        <f ca="1">IF(AND(ISNUMBER($AK$289),$B$185=1),$AK$289,HLOOKUP(INDIRECT(ADDRESS(2,COLUMN())),OFFSET($BN$2,0,0,ROW()-1,60),ROW()-1,FALSE))</f>
        <v/>
      </c>
      <c r="AL91" t="str">
        <f ca="1">IF(AND(ISNUMBER($AL$289),$B$185=1),$AL$289,HLOOKUP(INDIRECT(ADDRESS(2,COLUMN())),OFFSET($BN$2,0,0,ROW()-1,60),ROW()-1,FALSE))</f>
        <v/>
      </c>
      <c r="AM91" t="str">
        <f ca="1">IF(AND(ISNUMBER($AM$289),$B$185=1),$AM$289,HLOOKUP(INDIRECT(ADDRESS(2,COLUMN())),OFFSET($BN$2,0,0,ROW()-1,60),ROW()-1,FALSE))</f>
        <v/>
      </c>
      <c r="AN91" t="str">
        <f ca="1">IF(AND(ISNUMBER($AN$289),$B$185=1),$AN$289,HLOOKUP(INDIRECT(ADDRESS(2,COLUMN())),OFFSET($BN$2,0,0,ROW()-1,60),ROW()-1,FALSE))</f>
        <v/>
      </c>
      <c r="AO91" t="str">
        <f ca="1">IF(AND(ISNUMBER($AO$289),$B$185=1),$AO$289,HLOOKUP(INDIRECT(ADDRESS(2,COLUMN())),OFFSET($BN$2,0,0,ROW()-1,60),ROW()-1,FALSE))</f>
        <v/>
      </c>
      <c r="AP91" t="str">
        <f ca="1">IF(AND(ISNUMBER($AP$289),$B$185=1),$AP$289,HLOOKUP(INDIRECT(ADDRESS(2,COLUMN())),OFFSET($BN$2,0,0,ROW()-1,60),ROW()-1,FALSE))</f>
        <v/>
      </c>
      <c r="AQ91" t="str">
        <f ca="1">IF(AND(ISNUMBER($AQ$289),$B$185=1),$AQ$289,HLOOKUP(INDIRECT(ADDRESS(2,COLUMN())),OFFSET($BN$2,0,0,ROW()-1,60),ROW()-1,FALSE))</f>
        <v/>
      </c>
      <c r="AR91" t="str">
        <f ca="1">IF(AND(ISNUMBER($AR$289),$B$185=1),$AR$289,HLOOKUP(INDIRECT(ADDRESS(2,COLUMN())),OFFSET($BN$2,0,0,ROW()-1,60),ROW()-1,FALSE))</f>
        <v/>
      </c>
      <c r="AS91" t="str">
        <f ca="1">IF(AND(ISNUMBER($AS$289),$B$185=1),$AS$289,HLOOKUP(INDIRECT(ADDRESS(2,COLUMN())),OFFSET($BN$2,0,0,ROW()-1,60),ROW()-1,FALSE))</f>
        <v/>
      </c>
      <c r="AT91" t="str">
        <f ca="1">IF(AND(ISNUMBER($AT$289),$B$185=1),$AT$289,HLOOKUP(INDIRECT(ADDRESS(2,COLUMN())),OFFSET($BN$2,0,0,ROW()-1,60),ROW()-1,FALSE))</f>
        <v/>
      </c>
      <c r="AU91" t="str">
        <f ca="1">IF(AND(ISNUMBER($AU$289),$B$185=1),$AU$289,HLOOKUP(INDIRECT(ADDRESS(2,COLUMN())),OFFSET($BN$2,0,0,ROW()-1,60),ROW()-1,FALSE))</f>
        <v/>
      </c>
      <c r="AV91" t="str">
        <f ca="1">IF(AND(ISNUMBER($AV$289),$B$185=1),$AV$289,HLOOKUP(INDIRECT(ADDRESS(2,COLUMN())),OFFSET($BN$2,0,0,ROW()-1,60),ROW()-1,FALSE))</f>
        <v/>
      </c>
      <c r="AW91" t="str">
        <f ca="1">IF(AND(ISNUMBER($AW$289),$B$185=1),$AW$289,HLOOKUP(INDIRECT(ADDRESS(2,COLUMN())),OFFSET($BN$2,0,0,ROW()-1,60),ROW()-1,FALSE))</f>
        <v/>
      </c>
      <c r="AX91" t="str">
        <f ca="1">IF(AND(ISNUMBER($AX$289),$B$185=1),$AX$289,HLOOKUP(INDIRECT(ADDRESS(2,COLUMN())),OFFSET($BN$2,0,0,ROW()-1,60),ROW()-1,FALSE))</f>
        <v/>
      </c>
      <c r="AY91" t="str">
        <f ca="1">IF(AND(ISNUMBER($AY$289),$B$185=1),$AY$289,HLOOKUP(INDIRECT(ADDRESS(2,COLUMN())),OFFSET($BN$2,0,0,ROW()-1,60),ROW()-1,FALSE))</f>
        <v/>
      </c>
      <c r="AZ91" t="str">
        <f ca="1">IF(AND(ISNUMBER($AZ$289),$B$185=1),$AZ$289,HLOOKUP(INDIRECT(ADDRESS(2,COLUMN())),OFFSET($BN$2,0,0,ROW()-1,60),ROW()-1,FALSE))</f>
        <v/>
      </c>
      <c r="BA91" t="str">
        <f ca="1">IF(AND(ISNUMBER($BA$289),$B$185=1),$BA$289,HLOOKUP(INDIRECT(ADDRESS(2,COLUMN())),OFFSET($BN$2,0,0,ROW()-1,60),ROW()-1,FALSE))</f>
        <v/>
      </c>
      <c r="BB91" t="str">
        <f ca="1">IF(AND(ISNUMBER($BB$289),$B$185=1),$BB$289,HLOOKUP(INDIRECT(ADDRESS(2,COLUMN())),OFFSET($BN$2,0,0,ROW()-1,60),ROW()-1,FALSE))</f>
        <v/>
      </c>
      <c r="BC91" t="str">
        <f ca="1">IF(AND(ISNUMBER($BC$289),$B$185=1),$BC$289,HLOOKUP(INDIRECT(ADDRESS(2,COLUMN())),OFFSET($BN$2,0,0,ROW()-1,60),ROW()-1,FALSE))</f>
        <v/>
      </c>
      <c r="BD91" t="str">
        <f ca="1">IF(AND(ISNUMBER($BD$289),$B$185=1),$BD$289,HLOOKUP(INDIRECT(ADDRESS(2,COLUMN())),OFFSET($BN$2,0,0,ROW()-1,60),ROW()-1,FALSE))</f>
        <v/>
      </c>
      <c r="BE91" t="str">
        <f ca="1">IF(AND(ISNUMBER($BE$289),$B$185=1),$BE$289,HLOOKUP(INDIRECT(ADDRESS(2,COLUMN())),OFFSET($BN$2,0,0,ROW()-1,60),ROW()-1,FALSE))</f>
        <v/>
      </c>
      <c r="BF91" t="str">
        <f ca="1">IF(AND(ISNUMBER($BF$289),$B$185=1),$BF$289,HLOOKUP(INDIRECT(ADDRESS(2,COLUMN())),OFFSET($BN$2,0,0,ROW()-1,60),ROW()-1,FALSE))</f>
        <v/>
      </c>
      <c r="BG91" t="str">
        <f ca="1">IF(AND(ISNUMBER($BG$289),$B$185=1),$BG$289,HLOOKUP(INDIRECT(ADDRESS(2,COLUMN())),OFFSET($BN$2,0,0,ROW()-1,60),ROW()-1,FALSE))</f>
        <v/>
      </c>
      <c r="BH91" t="str">
        <f ca="1">IF(AND(ISNUMBER($BH$289),$B$185=1),$BH$289,HLOOKUP(INDIRECT(ADDRESS(2,COLUMN())),OFFSET($BN$2,0,0,ROW()-1,60),ROW()-1,FALSE))</f>
        <v/>
      </c>
      <c r="BI91" t="str">
        <f ca="1">IF(AND(ISNUMBER($BI$289),$B$185=1),$BI$289,HLOOKUP(INDIRECT(ADDRESS(2,COLUMN())),OFFSET($BN$2,0,0,ROW()-1,60),ROW()-1,FALSE))</f>
        <v/>
      </c>
      <c r="BJ91" t="str">
        <f ca="1">IF(AND(ISNUMBER($BJ$289),$B$185=1),$BJ$289,HLOOKUP(INDIRECT(ADDRESS(2,COLUMN())),OFFSET($BN$2,0,0,ROW()-1,60),ROW()-1,FALSE))</f>
        <v/>
      </c>
      <c r="BK91" t="str">
        <f ca="1">IF(AND(ISNUMBER($BK$289),$B$185=1),$BK$289,HLOOKUP(INDIRECT(ADDRESS(2,COLUMN())),OFFSET($BN$2,0,0,ROW()-1,60),ROW()-1,FALSE))</f>
        <v/>
      </c>
      <c r="BL91" t="str">
        <f ca="1">IF(AND(ISNUMBER($BL$289),$B$185=1),$BL$289,HLOOKUP(INDIRECT(ADDRESS(2,COLUMN())),OFFSET($BN$2,0,0,ROW()-1,60),ROW()-1,FALSE))</f>
        <v/>
      </c>
      <c r="BM91" t="str">
        <f ca="1">IF(AND(ISNUMBER($BM$289),$B$185=1),$BM$289,HLOOKUP(INDIRECT(ADDRESS(2,COLUMN())),OFFSET($BN$2,0,0,ROW()-1,60),ROW()-1,FALSE))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  <c r="BT91" t="str">
        <f>""</f>
        <v/>
      </c>
      <c r="BU91" t="str">
        <f>""</f>
        <v/>
      </c>
      <c r="BV91" t="str">
        <f>""</f>
        <v/>
      </c>
      <c r="BW91" t="str">
        <f>""</f>
        <v/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  <c r="CH91" t="str">
        <f>""</f>
        <v/>
      </c>
      <c r="CI91" t="str">
        <f>""</f>
        <v/>
      </c>
      <c r="CJ91" t="str">
        <f>""</f>
        <v/>
      </c>
      <c r="CK91" t="str">
        <f>""</f>
        <v/>
      </c>
      <c r="CL91" t="str">
        <f>""</f>
        <v/>
      </c>
      <c r="CM91" t="str">
        <f>""</f>
        <v/>
      </c>
      <c r="CN91" t="str">
        <f>""</f>
        <v/>
      </c>
      <c r="CO91" t="str">
        <f>""</f>
        <v/>
      </c>
      <c r="CP91" t="str">
        <f>""</f>
        <v/>
      </c>
      <c r="CQ91" t="str">
        <f>""</f>
        <v/>
      </c>
      <c r="CR91" t="str">
        <f>""</f>
        <v/>
      </c>
      <c r="CS91" t="str">
        <f>""</f>
        <v/>
      </c>
      <c r="CT91" t="str">
        <f>""</f>
        <v/>
      </c>
      <c r="CU91" t="str">
        <f>""</f>
        <v/>
      </c>
      <c r="CV91" t="str">
        <f>""</f>
        <v/>
      </c>
      <c r="CW91" t="str">
        <f>""</f>
        <v/>
      </c>
      <c r="CX91" t="str">
        <f>""</f>
        <v/>
      </c>
      <c r="CY91" t="str">
        <f>""</f>
        <v/>
      </c>
      <c r="CZ91" t="str">
        <f>""</f>
        <v/>
      </c>
      <c r="DA91" t="str">
        <f>""</f>
        <v/>
      </c>
      <c r="DB91" t="str">
        <f>""</f>
        <v/>
      </c>
      <c r="DC91" t="str">
        <f>""</f>
        <v/>
      </c>
      <c r="DD91" t="str">
        <f>""</f>
        <v/>
      </c>
      <c r="DE91" t="str">
        <f>""</f>
        <v/>
      </c>
      <c r="DF91" t="str">
        <f>""</f>
        <v/>
      </c>
      <c r="DG91" t="str">
        <f>""</f>
        <v/>
      </c>
      <c r="DH91" t="str">
        <f>""</f>
        <v/>
      </c>
      <c r="DI91" t="str">
        <f>""</f>
        <v/>
      </c>
      <c r="DJ91" t="str">
        <f>""</f>
        <v/>
      </c>
      <c r="DK91" t="str">
        <f>""</f>
        <v/>
      </c>
      <c r="DL91" t="str">
        <f>""</f>
        <v/>
      </c>
      <c r="DM91" t="str">
        <f>""</f>
        <v/>
      </c>
      <c r="DN91" t="str">
        <f>""</f>
        <v/>
      </c>
      <c r="DO91" t="str">
        <f>""</f>
        <v/>
      </c>
      <c r="DP91" t="str">
        <f>""</f>
        <v/>
      </c>
      <c r="DQ91" t="str">
        <f>""</f>
        <v/>
      </c>
      <c r="DR91" t="str">
        <f>""</f>
        <v/>
      </c>
      <c r="DS91" t="str">
        <f>""</f>
        <v/>
      </c>
      <c r="DT91" t="str">
        <f>""</f>
        <v/>
      </c>
      <c r="DU91" t="str">
        <f>""</f>
        <v/>
      </c>
    </row>
    <row r="92" spans="1:125">
      <c r="A92" t="str">
        <f>"    Huntington Bancshares Inc/OH"</f>
        <v xml:space="preserve">    Huntington Bancshares Inc/OH</v>
      </c>
      <c r="B92" t="str">
        <f>"HBAN US Equity"</f>
        <v>HBAN US Equity</v>
      </c>
      <c r="C92" t="str">
        <f t="shared" si="10"/>
        <v>BS961</v>
      </c>
      <c r="D92" t="str">
        <f t="shared" si="11"/>
        <v>BS_RES_MTG_OWNED_SERVICED_PORT</v>
      </c>
      <c r="E92" t="str">
        <f t="shared" si="12"/>
        <v>Dynamic</v>
      </c>
      <c r="F92" t="str">
        <f ca="1">IF(AND(ISNUMBER($F$290),$B$185=1),$F$290,HLOOKUP(INDIRECT(ADDRESS(2,COLUMN())),OFFSET($BN$2,0,0,ROW()-1,60),ROW()-1,FALSE))</f>
        <v/>
      </c>
      <c r="G92" t="str">
        <f ca="1">IF(AND(ISNUMBER($G$290),$B$185=1),$G$290,HLOOKUP(INDIRECT(ADDRESS(2,COLUMN())),OFFSET($BN$2,0,0,ROW()-1,60),ROW()-1,FALSE))</f>
        <v/>
      </c>
      <c r="H92" t="str">
        <f ca="1">IF(AND(ISNUMBER($H$290),$B$185=1),$H$290,HLOOKUP(INDIRECT(ADDRESS(2,COLUMN())),OFFSET($BN$2,0,0,ROW()-1,60),ROW()-1,FALSE))</f>
        <v/>
      </c>
      <c r="I92" t="str">
        <f ca="1">IF(AND(ISNUMBER($I$290),$B$185=1),$I$290,HLOOKUP(INDIRECT(ADDRESS(2,COLUMN())),OFFSET($BN$2,0,0,ROW()-1,60),ROW()-1,FALSE))</f>
        <v/>
      </c>
      <c r="J92" t="str">
        <f ca="1">IF(AND(ISNUMBER($J$290),$B$185=1),$J$290,HLOOKUP(INDIRECT(ADDRESS(2,COLUMN())),OFFSET($BN$2,0,0,ROW()-1,60),ROW()-1,FALSE))</f>
        <v/>
      </c>
      <c r="K92" t="str">
        <f ca="1">IF(AND(ISNUMBER($K$290),$B$185=1),$K$290,HLOOKUP(INDIRECT(ADDRESS(2,COLUMN())),OFFSET($BN$2,0,0,ROW()-1,60),ROW()-1,FALSE))</f>
        <v/>
      </c>
      <c r="L92" t="str">
        <f ca="1">IF(AND(ISNUMBER($L$290),$B$185=1),$L$290,HLOOKUP(INDIRECT(ADDRESS(2,COLUMN())),OFFSET($BN$2,0,0,ROW()-1,60),ROW()-1,FALSE))</f>
        <v/>
      </c>
      <c r="M92" t="str">
        <f ca="1">IF(AND(ISNUMBER($M$290),$B$185=1),$M$290,HLOOKUP(INDIRECT(ADDRESS(2,COLUMN())),OFFSET($BN$2,0,0,ROW()-1,60),ROW()-1,FALSE))</f>
        <v/>
      </c>
      <c r="N92" t="str">
        <f ca="1">IF(AND(ISNUMBER($N$290),$B$185=1),$N$290,HLOOKUP(INDIRECT(ADDRESS(2,COLUMN())),OFFSET($BN$2,0,0,ROW()-1,60),ROW()-1,FALSE))</f>
        <v/>
      </c>
      <c r="O92" t="str">
        <f ca="1">IF(AND(ISNUMBER($O$290),$B$185=1),$O$290,HLOOKUP(INDIRECT(ADDRESS(2,COLUMN())),OFFSET($BN$2,0,0,ROW()-1,60),ROW()-1,FALSE))</f>
        <v/>
      </c>
      <c r="P92" t="str">
        <f ca="1">IF(AND(ISNUMBER($P$290),$B$185=1),$P$290,HLOOKUP(INDIRECT(ADDRESS(2,COLUMN())),OFFSET($BN$2,0,0,ROW()-1,60),ROW()-1,FALSE))</f>
        <v/>
      </c>
      <c r="Q92" t="str">
        <f ca="1">IF(AND(ISNUMBER($Q$290),$B$185=1),$Q$290,HLOOKUP(INDIRECT(ADDRESS(2,COLUMN())),OFFSET($BN$2,0,0,ROW()-1,60),ROW()-1,FALSE))</f>
        <v/>
      </c>
      <c r="R92" t="str">
        <f ca="1">IF(AND(ISNUMBER($R$290),$B$185=1),$R$290,HLOOKUP(INDIRECT(ADDRESS(2,COLUMN())),OFFSET($BN$2,0,0,ROW()-1,60),ROW()-1,FALSE))</f>
        <v/>
      </c>
      <c r="S92" t="str">
        <f ca="1">IF(AND(ISNUMBER($S$290),$B$185=1),$S$290,HLOOKUP(INDIRECT(ADDRESS(2,COLUMN())),OFFSET($BN$2,0,0,ROW()-1,60),ROW()-1,FALSE))</f>
        <v/>
      </c>
      <c r="T92" t="str">
        <f ca="1">IF(AND(ISNUMBER($T$290),$B$185=1),$T$290,HLOOKUP(INDIRECT(ADDRESS(2,COLUMN())),OFFSET($BN$2,0,0,ROW()-1,60),ROW()-1,FALSE))</f>
        <v/>
      </c>
      <c r="U92" t="str">
        <f ca="1">IF(AND(ISNUMBER($U$290),$B$185=1),$U$290,HLOOKUP(INDIRECT(ADDRESS(2,COLUMN())),OFFSET($BN$2,0,0,ROW()-1,60),ROW()-1,FALSE))</f>
        <v/>
      </c>
      <c r="V92" t="str">
        <f ca="1">IF(AND(ISNUMBER($V$290),$B$185=1),$V$290,HLOOKUP(INDIRECT(ADDRESS(2,COLUMN())),OFFSET($BN$2,0,0,ROW()-1,60),ROW()-1,FALSE))</f>
        <v/>
      </c>
      <c r="W92" t="str">
        <f ca="1">IF(AND(ISNUMBER($W$290),$B$185=1),$W$290,HLOOKUP(INDIRECT(ADDRESS(2,COLUMN())),OFFSET($BN$2,0,0,ROW()-1,60),ROW()-1,FALSE))</f>
        <v/>
      </c>
      <c r="X92" t="str">
        <f ca="1">IF(AND(ISNUMBER($X$290),$B$185=1),$X$290,HLOOKUP(INDIRECT(ADDRESS(2,COLUMN())),OFFSET($BN$2,0,0,ROW()-1,60),ROW()-1,FALSE))</f>
        <v/>
      </c>
      <c r="Y92" t="str">
        <f ca="1">IF(AND(ISNUMBER($Y$290),$B$185=1),$Y$290,HLOOKUP(INDIRECT(ADDRESS(2,COLUMN())),OFFSET($BN$2,0,0,ROW()-1,60),ROW()-1,FALSE))</f>
        <v/>
      </c>
      <c r="Z92" t="str">
        <f ca="1">IF(AND(ISNUMBER($Z$290),$B$185=1),$Z$290,HLOOKUP(INDIRECT(ADDRESS(2,COLUMN())),OFFSET($BN$2,0,0,ROW()-1,60),ROW()-1,FALSE))</f>
        <v/>
      </c>
      <c r="AA92" t="str">
        <f ca="1">IF(AND(ISNUMBER($AA$290),$B$185=1),$AA$290,HLOOKUP(INDIRECT(ADDRESS(2,COLUMN())),OFFSET($BN$2,0,0,ROW()-1,60),ROW()-1,FALSE))</f>
        <v/>
      </c>
      <c r="AB92" t="str">
        <f ca="1">IF(AND(ISNUMBER($AB$290),$B$185=1),$AB$290,HLOOKUP(INDIRECT(ADDRESS(2,COLUMN())),OFFSET($BN$2,0,0,ROW()-1,60),ROW()-1,FALSE))</f>
        <v/>
      </c>
      <c r="AC92" t="str">
        <f ca="1">IF(AND(ISNUMBER($AC$290),$B$185=1),$AC$290,HLOOKUP(INDIRECT(ADDRESS(2,COLUMN())),OFFSET($BN$2,0,0,ROW()-1,60),ROW()-1,FALSE))</f>
        <v/>
      </c>
      <c r="AD92" t="str">
        <f ca="1">IF(AND(ISNUMBER($AD$290),$B$185=1),$AD$290,HLOOKUP(INDIRECT(ADDRESS(2,COLUMN())),OFFSET($BN$2,0,0,ROW()-1,60),ROW()-1,FALSE))</f>
        <v/>
      </c>
      <c r="AE92" t="str">
        <f ca="1">IF(AND(ISNUMBER($AE$290),$B$185=1),$AE$290,HLOOKUP(INDIRECT(ADDRESS(2,COLUMN())),OFFSET($BN$2,0,0,ROW()-1,60),ROW()-1,FALSE))</f>
        <v/>
      </c>
      <c r="AF92" t="str">
        <f ca="1">IF(AND(ISNUMBER($AF$290),$B$185=1),$AF$290,HLOOKUP(INDIRECT(ADDRESS(2,COLUMN())),OFFSET($BN$2,0,0,ROW()-1,60),ROW()-1,FALSE))</f>
        <v/>
      </c>
      <c r="AG92" t="str">
        <f ca="1">IF(AND(ISNUMBER($AG$290),$B$185=1),$AG$290,HLOOKUP(INDIRECT(ADDRESS(2,COLUMN())),OFFSET($BN$2,0,0,ROW()-1,60),ROW()-1,FALSE))</f>
        <v/>
      </c>
      <c r="AH92" t="str">
        <f ca="1">IF(AND(ISNUMBER($AH$290),$B$185=1),$AH$290,HLOOKUP(INDIRECT(ADDRESS(2,COLUMN())),OFFSET($BN$2,0,0,ROW()-1,60),ROW()-1,FALSE))</f>
        <v/>
      </c>
      <c r="AI92" t="str">
        <f ca="1">IF(AND(ISNUMBER($AI$290),$B$185=1),$AI$290,HLOOKUP(INDIRECT(ADDRESS(2,COLUMN())),OFFSET($BN$2,0,0,ROW()-1,60),ROW()-1,FALSE))</f>
        <v/>
      </c>
      <c r="AJ92" t="str">
        <f ca="1">IF(AND(ISNUMBER($AJ$290),$B$185=1),$AJ$290,HLOOKUP(INDIRECT(ADDRESS(2,COLUMN())),OFFSET($BN$2,0,0,ROW()-1,60),ROW()-1,FALSE))</f>
        <v/>
      </c>
      <c r="AK92" t="str">
        <f ca="1">IF(AND(ISNUMBER($AK$290),$B$185=1),$AK$290,HLOOKUP(INDIRECT(ADDRESS(2,COLUMN())),OFFSET($BN$2,0,0,ROW()-1,60),ROW()-1,FALSE))</f>
        <v/>
      </c>
      <c r="AL92" t="str">
        <f ca="1">IF(AND(ISNUMBER($AL$290),$B$185=1),$AL$290,HLOOKUP(INDIRECT(ADDRESS(2,COLUMN())),OFFSET($BN$2,0,0,ROW()-1,60),ROW()-1,FALSE))</f>
        <v/>
      </c>
      <c r="AM92" t="str">
        <f ca="1">IF(AND(ISNUMBER($AM$290),$B$185=1),$AM$290,HLOOKUP(INDIRECT(ADDRESS(2,COLUMN())),OFFSET($BN$2,0,0,ROW()-1,60),ROW()-1,FALSE))</f>
        <v/>
      </c>
      <c r="AN92" t="str">
        <f ca="1">IF(AND(ISNUMBER($AN$290),$B$185=1),$AN$290,HLOOKUP(INDIRECT(ADDRESS(2,COLUMN())),OFFSET($BN$2,0,0,ROW()-1,60),ROW()-1,FALSE))</f>
        <v/>
      </c>
      <c r="AO92" t="str">
        <f ca="1">IF(AND(ISNUMBER($AO$290),$B$185=1),$AO$290,HLOOKUP(INDIRECT(ADDRESS(2,COLUMN())),OFFSET($BN$2,0,0,ROW()-1,60),ROW()-1,FALSE))</f>
        <v/>
      </c>
      <c r="AP92" t="str">
        <f ca="1">IF(AND(ISNUMBER($AP$290),$B$185=1),$AP$290,HLOOKUP(INDIRECT(ADDRESS(2,COLUMN())),OFFSET($BN$2,0,0,ROW()-1,60),ROW()-1,FALSE))</f>
        <v/>
      </c>
      <c r="AQ92" t="str">
        <f ca="1">IF(AND(ISNUMBER($AQ$290),$B$185=1),$AQ$290,HLOOKUP(INDIRECT(ADDRESS(2,COLUMN())),OFFSET($BN$2,0,0,ROW()-1,60),ROW()-1,FALSE))</f>
        <v/>
      </c>
      <c r="AR92" t="str">
        <f ca="1">IF(AND(ISNUMBER($AR$290),$B$185=1),$AR$290,HLOOKUP(INDIRECT(ADDRESS(2,COLUMN())),OFFSET($BN$2,0,0,ROW()-1,60),ROW()-1,FALSE))</f>
        <v/>
      </c>
      <c r="AS92" t="str">
        <f ca="1">IF(AND(ISNUMBER($AS$290),$B$185=1),$AS$290,HLOOKUP(INDIRECT(ADDRESS(2,COLUMN())),OFFSET($BN$2,0,0,ROW()-1,60),ROW()-1,FALSE))</f>
        <v/>
      </c>
      <c r="AT92" t="str">
        <f ca="1">IF(AND(ISNUMBER($AT$290),$B$185=1),$AT$290,HLOOKUP(INDIRECT(ADDRESS(2,COLUMN())),OFFSET($BN$2,0,0,ROW()-1,60),ROW()-1,FALSE))</f>
        <v/>
      </c>
      <c r="AU92" t="str">
        <f ca="1">IF(AND(ISNUMBER($AU$290),$B$185=1),$AU$290,HLOOKUP(INDIRECT(ADDRESS(2,COLUMN())),OFFSET($BN$2,0,0,ROW()-1,60),ROW()-1,FALSE))</f>
        <v/>
      </c>
      <c r="AV92" t="str">
        <f ca="1">IF(AND(ISNUMBER($AV$290),$B$185=1),$AV$290,HLOOKUP(INDIRECT(ADDRESS(2,COLUMN())),OFFSET($BN$2,0,0,ROW()-1,60),ROW()-1,FALSE))</f>
        <v/>
      </c>
      <c r="AW92" t="str">
        <f ca="1">IF(AND(ISNUMBER($AW$290),$B$185=1),$AW$290,HLOOKUP(INDIRECT(ADDRESS(2,COLUMN())),OFFSET($BN$2,0,0,ROW()-1,60),ROW()-1,FALSE))</f>
        <v/>
      </c>
      <c r="AX92" t="str">
        <f ca="1">IF(AND(ISNUMBER($AX$290),$B$185=1),$AX$290,HLOOKUP(INDIRECT(ADDRESS(2,COLUMN())),OFFSET($BN$2,0,0,ROW()-1,60),ROW()-1,FALSE))</f>
        <v/>
      </c>
      <c r="AY92" t="str">
        <f ca="1">IF(AND(ISNUMBER($AY$290),$B$185=1),$AY$290,HLOOKUP(INDIRECT(ADDRESS(2,COLUMN())),OFFSET($BN$2,0,0,ROW()-1,60),ROW()-1,FALSE))</f>
        <v/>
      </c>
      <c r="AZ92" t="str">
        <f ca="1">IF(AND(ISNUMBER($AZ$290),$B$185=1),$AZ$290,HLOOKUP(INDIRECT(ADDRESS(2,COLUMN())),OFFSET($BN$2,0,0,ROW()-1,60),ROW()-1,FALSE))</f>
        <v/>
      </c>
      <c r="BA92" t="str">
        <f ca="1">IF(AND(ISNUMBER($BA$290),$B$185=1),$BA$290,HLOOKUP(INDIRECT(ADDRESS(2,COLUMN())),OFFSET($BN$2,0,0,ROW()-1,60),ROW()-1,FALSE))</f>
        <v/>
      </c>
      <c r="BB92" t="str">
        <f ca="1">IF(AND(ISNUMBER($BB$290),$B$185=1),$BB$290,HLOOKUP(INDIRECT(ADDRESS(2,COLUMN())),OFFSET($BN$2,0,0,ROW()-1,60),ROW()-1,FALSE))</f>
        <v/>
      </c>
      <c r="BC92" t="str">
        <f ca="1">IF(AND(ISNUMBER($BC$290),$B$185=1),$BC$290,HLOOKUP(INDIRECT(ADDRESS(2,COLUMN())),OFFSET($BN$2,0,0,ROW()-1,60),ROW()-1,FALSE))</f>
        <v/>
      </c>
      <c r="BD92" t="str">
        <f ca="1">IF(AND(ISNUMBER($BD$290),$B$185=1),$BD$290,HLOOKUP(INDIRECT(ADDRESS(2,COLUMN())),OFFSET($BN$2,0,0,ROW()-1,60),ROW()-1,FALSE))</f>
        <v/>
      </c>
      <c r="BE92" t="str">
        <f ca="1">IF(AND(ISNUMBER($BE$290),$B$185=1),$BE$290,HLOOKUP(INDIRECT(ADDRESS(2,COLUMN())),OFFSET($BN$2,0,0,ROW()-1,60),ROW()-1,FALSE))</f>
        <v/>
      </c>
      <c r="BF92" t="str">
        <f ca="1">IF(AND(ISNUMBER($BF$290),$B$185=1),$BF$290,HLOOKUP(INDIRECT(ADDRESS(2,COLUMN())),OFFSET($BN$2,0,0,ROW()-1,60),ROW()-1,FALSE))</f>
        <v/>
      </c>
      <c r="BG92" t="str">
        <f ca="1">IF(AND(ISNUMBER($BG$290),$B$185=1),$BG$290,HLOOKUP(INDIRECT(ADDRESS(2,COLUMN())),OFFSET($BN$2,0,0,ROW()-1,60),ROW()-1,FALSE))</f>
        <v/>
      </c>
      <c r="BH92" t="str">
        <f ca="1">IF(AND(ISNUMBER($BH$290),$B$185=1),$BH$290,HLOOKUP(INDIRECT(ADDRESS(2,COLUMN())),OFFSET($BN$2,0,0,ROW()-1,60),ROW()-1,FALSE))</f>
        <v/>
      </c>
      <c r="BI92" t="str">
        <f ca="1">IF(AND(ISNUMBER($BI$290),$B$185=1),$BI$290,HLOOKUP(INDIRECT(ADDRESS(2,COLUMN())),OFFSET($BN$2,0,0,ROW()-1,60),ROW()-1,FALSE))</f>
        <v/>
      </c>
      <c r="BJ92" t="str">
        <f ca="1">IF(AND(ISNUMBER($BJ$290),$B$185=1),$BJ$290,HLOOKUP(INDIRECT(ADDRESS(2,COLUMN())),OFFSET($BN$2,0,0,ROW()-1,60),ROW()-1,FALSE))</f>
        <v/>
      </c>
      <c r="BK92" t="str">
        <f ca="1">IF(AND(ISNUMBER($BK$290),$B$185=1),$BK$290,HLOOKUP(INDIRECT(ADDRESS(2,COLUMN())),OFFSET($BN$2,0,0,ROW()-1,60),ROW()-1,FALSE))</f>
        <v/>
      </c>
      <c r="BL92" t="str">
        <f ca="1">IF(AND(ISNUMBER($BL$290),$B$185=1),$BL$290,HLOOKUP(INDIRECT(ADDRESS(2,COLUMN())),OFFSET($BN$2,0,0,ROW()-1,60),ROW()-1,FALSE))</f>
        <v/>
      </c>
      <c r="BM92" t="str">
        <f ca="1">IF(AND(ISNUMBER($BM$290),$B$185=1),$BM$290,HLOOKUP(INDIRECT(ADDRESS(2,COLUMN())),OFFSET($BN$2,0,0,ROW()-1,60),ROW()-1,FALSE))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  <c r="BT92" t="str">
        <f>""</f>
        <v/>
      </c>
      <c r="BU92" t="str">
        <f>""</f>
        <v/>
      </c>
      <c r="BV92" t="str">
        <f>""</f>
        <v/>
      </c>
      <c r="BW92" t="str">
        <f>""</f>
        <v/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""</f>
        <v/>
      </c>
      <c r="CE92" t="str">
        <f>""</f>
        <v/>
      </c>
      <c r="CF92" t="str">
        <f>""</f>
        <v/>
      </c>
      <c r="CG92" t="str">
        <f>""</f>
        <v/>
      </c>
      <c r="CH92" t="str">
        <f>""</f>
        <v/>
      </c>
      <c r="CI92" t="str">
        <f>""</f>
        <v/>
      </c>
      <c r="CJ92" t="str">
        <f>""</f>
        <v/>
      </c>
      <c r="CK92" t="str">
        <f>""</f>
        <v/>
      </c>
      <c r="CL92" t="str">
        <f>""</f>
        <v/>
      </c>
      <c r="CM92" t="str">
        <f>""</f>
        <v/>
      </c>
      <c r="CN92" t="str">
        <f>""</f>
        <v/>
      </c>
      <c r="CO92" t="str">
        <f>""</f>
        <v/>
      </c>
      <c r="CP92" t="str">
        <f>""</f>
        <v/>
      </c>
      <c r="CQ92" t="str">
        <f>""</f>
        <v/>
      </c>
      <c r="CR92" t="str">
        <f>""</f>
        <v/>
      </c>
      <c r="CS92" t="str">
        <f>""</f>
        <v/>
      </c>
      <c r="CT92" t="str">
        <f>""</f>
        <v/>
      </c>
      <c r="CU92" t="str">
        <f>""</f>
        <v/>
      </c>
      <c r="CV92" t="str">
        <f>""</f>
        <v/>
      </c>
      <c r="CW92" t="str">
        <f>""</f>
        <v/>
      </c>
      <c r="CX92" t="str">
        <f>""</f>
        <v/>
      </c>
      <c r="CY92" t="str">
        <f>""</f>
        <v/>
      </c>
      <c r="CZ92" t="str">
        <f>""</f>
        <v/>
      </c>
      <c r="DA92" t="str">
        <f>""</f>
        <v/>
      </c>
      <c r="DB92" t="str">
        <f>""</f>
        <v/>
      </c>
      <c r="DC92" t="str">
        <f>""</f>
        <v/>
      </c>
      <c r="DD92" t="str">
        <f>""</f>
        <v/>
      </c>
      <c r="DE92" t="str">
        <f>""</f>
        <v/>
      </c>
      <c r="DF92" t="str">
        <f>""</f>
        <v/>
      </c>
      <c r="DG92" t="str">
        <f>""</f>
        <v/>
      </c>
      <c r="DH92" t="str">
        <f>""</f>
        <v/>
      </c>
      <c r="DI92" t="str">
        <f>""</f>
        <v/>
      </c>
      <c r="DJ92" t="str">
        <f>""</f>
        <v/>
      </c>
      <c r="DK92" t="str">
        <f>""</f>
        <v/>
      </c>
      <c r="DL92" t="str">
        <f>""</f>
        <v/>
      </c>
      <c r="DM92" t="str">
        <f>""</f>
        <v/>
      </c>
      <c r="DN92" t="str">
        <f>""</f>
        <v/>
      </c>
      <c r="DO92" t="str">
        <f>""</f>
        <v/>
      </c>
      <c r="DP92" t="str">
        <f>""</f>
        <v/>
      </c>
      <c r="DQ92" t="str">
        <f>""</f>
        <v/>
      </c>
      <c r="DR92" t="str">
        <f>""</f>
        <v/>
      </c>
      <c r="DS92" t="str">
        <f>""</f>
        <v/>
      </c>
      <c r="DT92" t="str">
        <f>""</f>
        <v/>
      </c>
      <c r="DU92" t="str">
        <f>""</f>
        <v/>
      </c>
    </row>
    <row r="93" spans="1:125">
      <c r="A93" t="str">
        <f>"    KeyCorp"</f>
        <v xml:space="preserve">    KeyCorp</v>
      </c>
      <c r="B93" t="str">
        <f>"KEY US Equity"</f>
        <v>KEY US Equity</v>
      </c>
      <c r="C93" t="str">
        <f t="shared" si="10"/>
        <v>BS961</v>
      </c>
      <c r="D93" t="str">
        <f t="shared" si="11"/>
        <v>BS_RES_MTG_OWNED_SERVICED_PORT</v>
      </c>
      <c r="E93" t="str">
        <f t="shared" si="12"/>
        <v>Dynamic</v>
      </c>
      <c r="F93" t="str">
        <f ca="1">IF(AND(ISNUMBER($F$291),$B$185=1),$F$291,HLOOKUP(INDIRECT(ADDRESS(2,COLUMN())),OFFSET($BN$2,0,0,ROW()-1,60),ROW()-1,FALSE))</f>
        <v/>
      </c>
      <c r="G93" t="str">
        <f ca="1">IF(AND(ISNUMBER($G$291),$B$185=1),$G$291,HLOOKUP(INDIRECT(ADDRESS(2,COLUMN())),OFFSET($BN$2,0,0,ROW()-1,60),ROW()-1,FALSE))</f>
        <v/>
      </c>
      <c r="H93" t="str">
        <f ca="1">IF(AND(ISNUMBER($H$291),$B$185=1),$H$291,HLOOKUP(INDIRECT(ADDRESS(2,COLUMN())),OFFSET($BN$2,0,0,ROW()-1,60),ROW()-1,FALSE))</f>
        <v/>
      </c>
      <c r="I93" t="str">
        <f ca="1">IF(AND(ISNUMBER($I$291),$B$185=1),$I$291,HLOOKUP(INDIRECT(ADDRESS(2,COLUMN())),OFFSET($BN$2,0,0,ROW()-1,60),ROW()-1,FALSE))</f>
        <v/>
      </c>
      <c r="J93" t="str">
        <f ca="1">IF(AND(ISNUMBER($J$291),$B$185=1),$J$291,HLOOKUP(INDIRECT(ADDRESS(2,COLUMN())),OFFSET($BN$2,0,0,ROW()-1,60),ROW()-1,FALSE))</f>
        <v/>
      </c>
      <c r="K93" t="str">
        <f ca="1">IF(AND(ISNUMBER($K$291),$B$185=1),$K$291,HLOOKUP(INDIRECT(ADDRESS(2,COLUMN())),OFFSET($BN$2,0,0,ROW()-1,60),ROW()-1,FALSE))</f>
        <v/>
      </c>
      <c r="L93" t="str">
        <f ca="1">IF(AND(ISNUMBER($L$291),$B$185=1),$L$291,HLOOKUP(INDIRECT(ADDRESS(2,COLUMN())),OFFSET($BN$2,0,0,ROW()-1,60),ROW()-1,FALSE))</f>
        <v/>
      </c>
      <c r="M93" t="str">
        <f ca="1">IF(AND(ISNUMBER($M$291),$B$185=1),$M$291,HLOOKUP(INDIRECT(ADDRESS(2,COLUMN())),OFFSET($BN$2,0,0,ROW()-1,60),ROW()-1,FALSE))</f>
        <v/>
      </c>
      <c r="N93" t="str">
        <f ca="1">IF(AND(ISNUMBER($N$291),$B$185=1),$N$291,HLOOKUP(INDIRECT(ADDRESS(2,COLUMN())),OFFSET($BN$2,0,0,ROW()-1,60),ROW()-1,FALSE))</f>
        <v/>
      </c>
      <c r="O93" t="str">
        <f ca="1">IF(AND(ISNUMBER($O$291),$B$185=1),$O$291,HLOOKUP(INDIRECT(ADDRESS(2,COLUMN())),OFFSET($BN$2,0,0,ROW()-1,60),ROW()-1,FALSE))</f>
        <v/>
      </c>
      <c r="P93" t="str">
        <f ca="1">IF(AND(ISNUMBER($P$291),$B$185=1),$P$291,HLOOKUP(INDIRECT(ADDRESS(2,COLUMN())),OFFSET($BN$2,0,0,ROW()-1,60),ROW()-1,FALSE))</f>
        <v/>
      </c>
      <c r="Q93" t="str">
        <f ca="1">IF(AND(ISNUMBER($Q$291),$B$185=1),$Q$291,HLOOKUP(INDIRECT(ADDRESS(2,COLUMN())),OFFSET($BN$2,0,0,ROW()-1,60),ROW()-1,FALSE))</f>
        <v/>
      </c>
      <c r="R93" t="str">
        <f ca="1">IF(AND(ISNUMBER($R$291),$B$185=1),$R$291,HLOOKUP(INDIRECT(ADDRESS(2,COLUMN())),OFFSET($BN$2,0,0,ROW()-1,60),ROW()-1,FALSE))</f>
        <v/>
      </c>
      <c r="S93" t="str">
        <f ca="1">IF(AND(ISNUMBER($S$291),$B$185=1),$S$291,HLOOKUP(INDIRECT(ADDRESS(2,COLUMN())),OFFSET($BN$2,0,0,ROW()-1,60),ROW()-1,FALSE))</f>
        <v/>
      </c>
      <c r="T93" t="str">
        <f ca="1">IF(AND(ISNUMBER($T$291),$B$185=1),$T$291,HLOOKUP(INDIRECT(ADDRESS(2,COLUMN())),OFFSET($BN$2,0,0,ROW()-1,60),ROW()-1,FALSE))</f>
        <v/>
      </c>
      <c r="U93" t="str">
        <f ca="1">IF(AND(ISNUMBER($U$291),$B$185=1),$U$291,HLOOKUP(INDIRECT(ADDRESS(2,COLUMN())),OFFSET($BN$2,0,0,ROW()-1,60),ROW()-1,FALSE))</f>
        <v/>
      </c>
      <c r="V93" t="str">
        <f ca="1">IF(AND(ISNUMBER($V$291),$B$185=1),$V$291,HLOOKUP(INDIRECT(ADDRESS(2,COLUMN())),OFFSET($BN$2,0,0,ROW()-1,60),ROW()-1,FALSE))</f>
        <v/>
      </c>
      <c r="W93" t="str">
        <f ca="1">IF(AND(ISNUMBER($W$291),$B$185=1),$W$291,HLOOKUP(INDIRECT(ADDRESS(2,COLUMN())),OFFSET($BN$2,0,0,ROW()-1,60),ROW()-1,FALSE))</f>
        <v/>
      </c>
      <c r="X93" t="str">
        <f ca="1">IF(AND(ISNUMBER($X$291),$B$185=1),$X$291,HLOOKUP(INDIRECT(ADDRESS(2,COLUMN())),OFFSET($BN$2,0,0,ROW()-1,60),ROW()-1,FALSE))</f>
        <v/>
      </c>
      <c r="Y93" t="str">
        <f ca="1">IF(AND(ISNUMBER($Y$291),$B$185=1),$Y$291,HLOOKUP(INDIRECT(ADDRESS(2,COLUMN())),OFFSET($BN$2,0,0,ROW()-1,60),ROW()-1,FALSE))</f>
        <v/>
      </c>
      <c r="Z93" t="str">
        <f ca="1">IF(AND(ISNUMBER($Z$291),$B$185=1),$Z$291,HLOOKUP(INDIRECT(ADDRESS(2,COLUMN())),OFFSET($BN$2,0,0,ROW()-1,60),ROW()-1,FALSE))</f>
        <v/>
      </c>
      <c r="AA93" t="str">
        <f ca="1">IF(AND(ISNUMBER($AA$291),$B$185=1),$AA$291,HLOOKUP(INDIRECT(ADDRESS(2,COLUMN())),OFFSET($BN$2,0,0,ROW()-1,60),ROW()-1,FALSE))</f>
        <v/>
      </c>
      <c r="AB93" t="str">
        <f ca="1">IF(AND(ISNUMBER($AB$291),$B$185=1),$AB$291,HLOOKUP(INDIRECT(ADDRESS(2,COLUMN())),OFFSET($BN$2,0,0,ROW()-1,60),ROW()-1,FALSE))</f>
        <v/>
      </c>
      <c r="AC93" t="str">
        <f ca="1">IF(AND(ISNUMBER($AC$291),$B$185=1),$AC$291,HLOOKUP(INDIRECT(ADDRESS(2,COLUMN())),OFFSET($BN$2,0,0,ROW()-1,60),ROW()-1,FALSE))</f>
        <v/>
      </c>
      <c r="AD93" t="str">
        <f ca="1">IF(AND(ISNUMBER($AD$291),$B$185=1),$AD$291,HLOOKUP(INDIRECT(ADDRESS(2,COLUMN())),OFFSET($BN$2,0,0,ROW()-1,60),ROW()-1,FALSE))</f>
        <v/>
      </c>
      <c r="AE93" t="str">
        <f ca="1">IF(AND(ISNUMBER($AE$291),$B$185=1),$AE$291,HLOOKUP(INDIRECT(ADDRESS(2,COLUMN())),OFFSET($BN$2,0,0,ROW()-1,60),ROW()-1,FALSE))</f>
        <v/>
      </c>
      <c r="AF93" t="str">
        <f ca="1">IF(AND(ISNUMBER($AF$291),$B$185=1),$AF$291,HLOOKUP(INDIRECT(ADDRESS(2,COLUMN())),OFFSET($BN$2,0,0,ROW()-1,60),ROW()-1,FALSE))</f>
        <v/>
      </c>
      <c r="AG93" t="str">
        <f ca="1">IF(AND(ISNUMBER($AG$291),$B$185=1),$AG$291,HLOOKUP(INDIRECT(ADDRESS(2,COLUMN())),OFFSET($BN$2,0,0,ROW()-1,60),ROW()-1,FALSE))</f>
        <v/>
      </c>
      <c r="AH93" t="str">
        <f ca="1">IF(AND(ISNUMBER($AH$291),$B$185=1),$AH$291,HLOOKUP(INDIRECT(ADDRESS(2,COLUMN())),OFFSET($BN$2,0,0,ROW()-1,60),ROW()-1,FALSE))</f>
        <v/>
      </c>
      <c r="AI93" t="str">
        <f ca="1">IF(AND(ISNUMBER($AI$291),$B$185=1),$AI$291,HLOOKUP(INDIRECT(ADDRESS(2,COLUMN())),OFFSET($BN$2,0,0,ROW()-1,60),ROW()-1,FALSE))</f>
        <v/>
      </c>
      <c r="AJ93" t="str">
        <f ca="1">IF(AND(ISNUMBER($AJ$291),$B$185=1),$AJ$291,HLOOKUP(INDIRECT(ADDRESS(2,COLUMN())),OFFSET($BN$2,0,0,ROW()-1,60),ROW()-1,FALSE))</f>
        <v/>
      </c>
      <c r="AK93" t="str">
        <f ca="1">IF(AND(ISNUMBER($AK$291),$B$185=1),$AK$291,HLOOKUP(INDIRECT(ADDRESS(2,COLUMN())),OFFSET($BN$2,0,0,ROW()-1,60),ROW()-1,FALSE))</f>
        <v/>
      </c>
      <c r="AL93" t="str">
        <f ca="1">IF(AND(ISNUMBER($AL$291),$B$185=1),$AL$291,HLOOKUP(INDIRECT(ADDRESS(2,COLUMN())),OFFSET($BN$2,0,0,ROW()-1,60),ROW()-1,FALSE))</f>
        <v/>
      </c>
      <c r="AM93" t="str">
        <f ca="1">IF(AND(ISNUMBER($AM$291),$B$185=1),$AM$291,HLOOKUP(INDIRECT(ADDRESS(2,COLUMN())),OFFSET($BN$2,0,0,ROW()-1,60),ROW()-1,FALSE))</f>
        <v/>
      </c>
      <c r="AN93" t="str">
        <f ca="1">IF(AND(ISNUMBER($AN$291),$B$185=1),$AN$291,HLOOKUP(INDIRECT(ADDRESS(2,COLUMN())),OFFSET($BN$2,0,0,ROW()-1,60),ROW()-1,FALSE))</f>
        <v/>
      </c>
      <c r="AO93" t="str">
        <f ca="1">IF(AND(ISNUMBER($AO$291),$B$185=1),$AO$291,HLOOKUP(INDIRECT(ADDRESS(2,COLUMN())),OFFSET($BN$2,0,0,ROW()-1,60),ROW()-1,FALSE))</f>
        <v/>
      </c>
      <c r="AP93" t="str">
        <f ca="1">IF(AND(ISNUMBER($AP$291),$B$185=1),$AP$291,HLOOKUP(INDIRECT(ADDRESS(2,COLUMN())),OFFSET($BN$2,0,0,ROW()-1,60),ROW()-1,FALSE))</f>
        <v/>
      </c>
      <c r="AQ93" t="str">
        <f ca="1">IF(AND(ISNUMBER($AQ$291),$B$185=1),$AQ$291,HLOOKUP(INDIRECT(ADDRESS(2,COLUMN())),OFFSET($BN$2,0,0,ROW()-1,60),ROW()-1,FALSE))</f>
        <v/>
      </c>
      <c r="AR93" t="str">
        <f ca="1">IF(AND(ISNUMBER($AR$291),$B$185=1),$AR$291,HLOOKUP(INDIRECT(ADDRESS(2,COLUMN())),OFFSET($BN$2,0,0,ROW()-1,60),ROW()-1,FALSE))</f>
        <v/>
      </c>
      <c r="AS93" t="str">
        <f ca="1">IF(AND(ISNUMBER($AS$291),$B$185=1),$AS$291,HLOOKUP(INDIRECT(ADDRESS(2,COLUMN())),OFFSET($BN$2,0,0,ROW()-1,60),ROW()-1,FALSE))</f>
        <v/>
      </c>
      <c r="AT93" t="str">
        <f ca="1">IF(AND(ISNUMBER($AT$291),$B$185=1),$AT$291,HLOOKUP(INDIRECT(ADDRESS(2,COLUMN())),OFFSET($BN$2,0,0,ROW()-1,60),ROW()-1,FALSE))</f>
        <v/>
      </c>
      <c r="AU93" t="str">
        <f ca="1">IF(AND(ISNUMBER($AU$291),$B$185=1),$AU$291,HLOOKUP(INDIRECT(ADDRESS(2,COLUMN())),OFFSET($BN$2,0,0,ROW()-1,60),ROW()-1,FALSE))</f>
        <v/>
      </c>
      <c r="AV93" t="str">
        <f ca="1">IF(AND(ISNUMBER($AV$291),$B$185=1),$AV$291,HLOOKUP(INDIRECT(ADDRESS(2,COLUMN())),OFFSET($BN$2,0,0,ROW()-1,60),ROW()-1,FALSE))</f>
        <v/>
      </c>
      <c r="AW93" t="str">
        <f ca="1">IF(AND(ISNUMBER($AW$291),$B$185=1),$AW$291,HLOOKUP(INDIRECT(ADDRESS(2,COLUMN())),OFFSET($BN$2,0,0,ROW()-1,60),ROW()-1,FALSE))</f>
        <v/>
      </c>
      <c r="AX93" t="str">
        <f ca="1">IF(AND(ISNUMBER($AX$291),$B$185=1),$AX$291,HLOOKUP(INDIRECT(ADDRESS(2,COLUMN())),OFFSET($BN$2,0,0,ROW()-1,60),ROW()-1,FALSE))</f>
        <v/>
      </c>
      <c r="AY93" t="str">
        <f ca="1">IF(AND(ISNUMBER($AY$291),$B$185=1),$AY$291,HLOOKUP(INDIRECT(ADDRESS(2,COLUMN())),OFFSET($BN$2,0,0,ROW()-1,60),ROW()-1,FALSE))</f>
        <v/>
      </c>
      <c r="AZ93" t="str">
        <f ca="1">IF(AND(ISNUMBER($AZ$291),$B$185=1),$AZ$291,HLOOKUP(INDIRECT(ADDRESS(2,COLUMN())),OFFSET($BN$2,0,0,ROW()-1,60),ROW()-1,FALSE))</f>
        <v/>
      </c>
      <c r="BA93" t="str">
        <f ca="1">IF(AND(ISNUMBER($BA$291),$B$185=1),$BA$291,HLOOKUP(INDIRECT(ADDRESS(2,COLUMN())),OFFSET($BN$2,0,0,ROW()-1,60),ROW()-1,FALSE))</f>
        <v/>
      </c>
      <c r="BB93" t="str">
        <f ca="1">IF(AND(ISNUMBER($BB$291),$B$185=1),$BB$291,HLOOKUP(INDIRECT(ADDRESS(2,COLUMN())),OFFSET($BN$2,0,0,ROW()-1,60),ROW()-1,FALSE))</f>
        <v/>
      </c>
      <c r="BC93" t="str">
        <f ca="1">IF(AND(ISNUMBER($BC$291),$B$185=1),$BC$291,HLOOKUP(INDIRECT(ADDRESS(2,COLUMN())),OFFSET($BN$2,0,0,ROW()-1,60),ROW()-1,FALSE))</f>
        <v/>
      </c>
      <c r="BD93" t="str">
        <f ca="1">IF(AND(ISNUMBER($BD$291),$B$185=1),$BD$291,HLOOKUP(INDIRECT(ADDRESS(2,COLUMN())),OFFSET($BN$2,0,0,ROW()-1,60),ROW()-1,FALSE))</f>
        <v/>
      </c>
      <c r="BE93" t="str">
        <f ca="1">IF(AND(ISNUMBER($BE$291),$B$185=1),$BE$291,HLOOKUP(INDIRECT(ADDRESS(2,COLUMN())),OFFSET($BN$2,0,0,ROW()-1,60),ROW()-1,FALSE))</f>
        <v/>
      </c>
      <c r="BF93" t="str">
        <f ca="1">IF(AND(ISNUMBER($BF$291),$B$185=1),$BF$291,HLOOKUP(INDIRECT(ADDRESS(2,COLUMN())),OFFSET($BN$2,0,0,ROW()-1,60),ROW()-1,FALSE))</f>
        <v/>
      </c>
      <c r="BG93" t="str">
        <f ca="1">IF(AND(ISNUMBER($BG$291),$B$185=1),$BG$291,HLOOKUP(INDIRECT(ADDRESS(2,COLUMN())),OFFSET($BN$2,0,0,ROW()-1,60),ROW()-1,FALSE))</f>
        <v/>
      </c>
      <c r="BH93" t="str">
        <f ca="1">IF(AND(ISNUMBER($BH$291),$B$185=1),$BH$291,HLOOKUP(INDIRECT(ADDRESS(2,COLUMN())),OFFSET($BN$2,0,0,ROW()-1,60),ROW()-1,FALSE))</f>
        <v/>
      </c>
      <c r="BI93" t="str">
        <f ca="1">IF(AND(ISNUMBER($BI$291),$B$185=1),$BI$291,HLOOKUP(INDIRECT(ADDRESS(2,COLUMN())),OFFSET($BN$2,0,0,ROW()-1,60),ROW()-1,FALSE))</f>
        <v/>
      </c>
      <c r="BJ93" t="str">
        <f ca="1">IF(AND(ISNUMBER($BJ$291),$B$185=1),$BJ$291,HLOOKUP(INDIRECT(ADDRESS(2,COLUMN())),OFFSET($BN$2,0,0,ROW()-1,60),ROW()-1,FALSE))</f>
        <v/>
      </c>
      <c r="BK93" t="str">
        <f ca="1">IF(AND(ISNUMBER($BK$291),$B$185=1),$BK$291,HLOOKUP(INDIRECT(ADDRESS(2,COLUMN())),OFFSET($BN$2,0,0,ROW()-1,60),ROW()-1,FALSE))</f>
        <v/>
      </c>
      <c r="BL93" t="str">
        <f ca="1">IF(AND(ISNUMBER($BL$291),$B$185=1),$BL$291,HLOOKUP(INDIRECT(ADDRESS(2,COLUMN())),OFFSET($BN$2,0,0,ROW()-1,60),ROW()-1,FALSE))</f>
        <v/>
      </c>
      <c r="BM93" t="str">
        <f ca="1">IF(AND(ISNUMBER($BM$291),$B$185=1),$BM$291,HLOOKUP(INDIRECT(ADDRESS(2,COLUMN())),OFFSET($BN$2,0,0,ROW()-1,60),ROW()-1,FALSE))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  <c r="BT93" t="str">
        <f>""</f>
        <v/>
      </c>
      <c r="BU93" t="str">
        <f>""</f>
        <v/>
      </c>
      <c r="BV93" t="str">
        <f>""</f>
        <v/>
      </c>
      <c r="BW93" t="str">
        <f>""</f>
        <v/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  <c r="CH93" t="str">
        <f>""</f>
        <v/>
      </c>
      <c r="CI93" t="str">
        <f>""</f>
        <v/>
      </c>
      <c r="CJ93" t="str">
        <f>""</f>
        <v/>
      </c>
      <c r="CK93" t="str">
        <f>""</f>
        <v/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>
      <c r="A94" t="str">
        <f>"    M&amp;T Bank Corp"</f>
        <v xml:space="preserve">    M&amp;T Bank Corp</v>
      </c>
      <c r="B94" t="str">
        <f>"MTB US Equity"</f>
        <v>MTB US Equity</v>
      </c>
      <c r="C94" t="str">
        <f t="shared" si="10"/>
        <v>BS961</v>
      </c>
      <c r="D94" t="str">
        <f t="shared" si="11"/>
        <v>BS_RES_MTG_OWNED_SERVICED_PORT</v>
      </c>
      <c r="E94" t="str">
        <f t="shared" si="12"/>
        <v>Dynamic</v>
      </c>
      <c r="F94" t="str">
        <f ca="1">IF(AND(ISNUMBER($F$292),$B$185=1),$F$292,HLOOKUP(INDIRECT(ADDRESS(2,COLUMN())),OFFSET($BN$2,0,0,ROW()-1,60),ROW()-1,FALSE))</f>
        <v/>
      </c>
      <c r="G94" t="str">
        <f ca="1">IF(AND(ISNUMBER($G$292),$B$185=1),$G$292,HLOOKUP(INDIRECT(ADDRESS(2,COLUMN())),OFFSET($BN$2,0,0,ROW()-1,60),ROW()-1,FALSE))</f>
        <v/>
      </c>
      <c r="H94" t="str">
        <f ca="1">IF(AND(ISNUMBER($H$292),$B$185=1),$H$292,HLOOKUP(INDIRECT(ADDRESS(2,COLUMN())),OFFSET($BN$2,0,0,ROW()-1,60),ROW()-1,FALSE))</f>
        <v/>
      </c>
      <c r="I94" t="str">
        <f ca="1">IF(AND(ISNUMBER($I$292),$B$185=1),$I$292,HLOOKUP(INDIRECT(ADDRESS(2,COLUMN())),OFFSET($BN$2,0,0,ROW()-1,60),ROW()-1,FALSE))</f>
        <v/>
      </c>
      <c r="J94" t="str">
        <f ca="1">IF(AND(ISNUMBER($J$292),$B$185=1),$J$292,HLOOKUP(INDIRECT(ADDRESS(2,COLUMN())),OFFSET($BN$2,0,0,ROW()-1,60),ROW()-1,FALSE))</f>
        <v/>
      </c>
      <c r="K94" t="str">
        <f ca="1">IF(AND(ISNUMBER($K$292),$B$185=1),$K$292,HLOOKUP(INDIRECT(ADDRESS(2,COLUMN())),OFFSET($BN$2,0,0,ROW()-1,60),ROW()-1,FALSE))</f>
        <v/>
      </c>
      <c r="L94" t="str">
        <f ca="1">IF(AND(ISNUMBER($L$292),$B$185=1),$L$292,HLOOKUP(INDIRECT(ADDRESS(2,COLUMN())),OFFSET($BN$2,0,0,ROW()-1,60),ROW()-1,FALSE))</f>
        <v/>
      </c>
      <c r="M94" t="str">
        <f ca="1">IF(AND(ISNUMBER($M$292),$B$185=1),$M$292,HLOOKUP(INDIRECT(ADDRESS(2,COLUMN())),OFFSET($BN$2,0,0,ROW()-1,60),ROW()-1,FALSE))</f>
        <v/>
      </c>
      <c r="N94" t="str">
        <f ca="1">IF(AND(ISNUMBER($N$292),$B$185=1),$N$292,HLOOKUP(INDIRECT(ADDRESS(2,COLUMN())),OFFSET($BN$2,0,0,ROW()-1,60),ROW()-1,FALSE))</f>
        <v/>
      </c>
      <c r="O94" t="str">
        <f ca="1">IF(AND(ISNUMBER($O$292),$B$185=1),$O$292,HLOOKUP(INDIRECT(ADDRESS(2,COLUMN())),OFFSET($BN$2,0,0,ROW()-1,60),ROW()-1,FALSE))</f>
        <v/>
      </c>
      <c r="P94" t="str">
        <f ca="1">IF(AND(ISNUMBER($P$292),$B$185=1),$P$292,HLOOKUP(INDIRECT(ADDRESS(2,COLUMN())),OFFSET($BN$2,0,0,ROW()-1,60),ROW()-1,FALSE))</f>
        <v/>
      </c>
      <c r="Q94" t="str">
        <f ca="1">IF(AND(ISNUMBER($Q$292),$B$185=1),$Q$292,HLOOKUP(INDIRECT(ADDRESS(2,COLUMN())),OFFSET($BN$2,0,0,ROW()-1,60),ROW()-1,FALSE))</f>
        <v/>
      </c>
      <c r="R94" t="str">
        <f ca="1">IF(AND(ISNUMBER($R$292),$B$185=1),$R$292,HLOOKUP(INDIRECT(ADDRESS(2,COLUMN())),OFFSET($BN$2,0,0,ROW()-1,60),ROW()-1,FALSE))</f>
        <v/>
      </c>
      <c r="S94" t="str">
        <f ca="1">IF(AND(ISNUMBER($S$292),$B$185=1),$S$292,HLOOKUP(INDIRECT(ADDRESS(2,COLUMN())),OFFSET($BN$2,0,0,ROW()-1,60),ROW()-1,FALSE))</f>
        <v/>
      </c>
      <c r="T94" t="str">
        <f ca="1">IF(AND(ISNUMBER($T$292),$B$185=1),$T$292,HLOOKUP(INDIRECT(ADDRESS(2,COLUMN())),OFFSET($BN$2,0,0,ROW()-1,60),ROW()-1,FALSE))</f>
        <v/>
      </c>
      <c r="U94" t="str">
        <f ca="1">IF(AND(ISNUMBER($U$292),$B$185=1),$U$292,HLOOKUP(INDIRECT(ADDRESS(2,COLUMN())),OFFSET($BN$2,0,0,ROW()-1,60),ROW()-1,FALSE))</f>
        <v/>
      </c>
      <c r="V94" t="str">
        <f ca="1">IF(AND(ISNUMBER($V$292),$B$185=1),$V$292,HLOOKUP(INDIRECT(ADDRESS(2,COLUMN())),OFFSET($BN$2,0,0,ROW()-1,60),ROW()-1,FALSE))</f>
        <v/>
      </c>
      <c r="W94" t="str">
        <f ca="1">IF(AND(ISNUMBER($W$292),$B$185=1),$W$292,HLOOKUP(INDIRECT(ADDRESS(2,COLUMN())),OFFSET($BN$2,0,0,ROW()-1,60),ROW()-1,FALSE))</f>
        <v/>
      </c>
      <c r="X94" t="str">
        <f ca="1">IF(AND(ISNUMBER($X$292),$B$185=1),$X$292,HLOOKUP(INDIRECT(ADDRESS(2,COLUMN())),OFFSET($BN$2,0,0,ROW()-1,60),ROW()-1,FALSE))</f>
        <v/>
      </c>
      <c r="Y94" t="str">
        <f ca="1">IF(AND(ISNUMBER($Y$292),$B$185=1),$Y$292,HLOOKUP(INDIRECT(ADDRESS(2,COLUMN())),OFFSET($BN$2,0,0,ROW()-1,60),ROW()-1,FALSE))</f>
        <v/>
      </c>
      <c r="Z94" t="str">
        <f ca="1">IF(AND(ISNUMBER($Z$292),$B$185=1),$Z$292,HLOOKUP(INDIRECT(ADDRESS(2,COLUMN())),OFFSET($BN$2,0,0,ROW()-1,60),ROW()-1,FALSE))</f>
        <v/>
      </c>
      <c r="AA94" t="str">
        <f ca="1">IF(AND(ISNUMBER($AA$292),$B$185=1),$AA$292,HLOOKUP(INDIRECT(ADDRESS(2,COLUMN())),OFFSET($BN$2,0,0,ROW()-1,60),ROW()-1,FALSE))</f>
        <v/>
      </c>
      <c r="AB94" t="str">
        <f ca="1">IF(AND(ISNUMBER($AB$292),$B$185=1),$AB$292,HLOOKUP(INDIRECT(ADDRESS(2,COLUMN())),OFFSET($BN$2,0,0,ROW()-1,60),ROW()-1,FALSE))</f>
        <v/>
      </c>
      <c r="AC94" t="str">
        <f ca="1">IF(AND(ISNUMBER($AC$292),$B$185=1),$AC$292,HLOOKUP(INDIRECT(ADDRESS(2,COLUMN())),OFFSET($BN$2,0,0,ROW()-1,60),ROW()-1,FALSE))</f>
        <v/>
      </c>
      <c r="AD94" t="str">
        <f ca="1">IF(AND(ISNUMBER($AD$292),$B$185=1),$AD$292,HLOOKUP(INDIRECT(ADDRESS(2,COLUMN())),OFFSET($BN$2,0,0,ROW()-1,60),ROW()-1,FALSE))</f>
        <v/>
      </c>
      <c r="AE94" t="str">
        <f ca="1">IF(AND(ISNUMBER($AE$292),$B$185=1),$AE$292,HLOOKUP(INDIRECT(ADDRESS(2,COLUMN())),OFFSET($BN$2,0,0,ROW()-1,60),ROW()-1,FALSE))</f>
        <v/>
      </c>
      <c r="AF94" t="str">
        <f ca="1">IF(AND(ISNUMBER($AF$292),$B$185=1),$AF$292,HLOOKUP(INDIRECT(ADDRESS(2,COLUMN())),OFFSET($BN$2,0,0,ROW()-1,60),ROW()-1,FALSE))</f>
        <v/>
      </c>
      <c r="AG94" t="str">
        <f ca="1">IF(AND(ISNUMBER($AG$292),$B$185=1),$AG$292,HLOOKUP(INDIRECT(ADDRESS(2,COLUMN())),OFFSET($BN$2,0,0,ROW()-1,60),ROW()-1,FALSE))</f>
        <v/>
      </c>
      <c r="AH94" t="str">
        <f ca="1">IF(AND(ISNUMBER($AH$292),$B$185=1),$AH$292,HLOOKUP(INDIRECT(ADDRESS(2,COLUMN())),OFFSET($BN$2,0,0,ROW()-1,60),ROW()-1,FALSE))</f>
        <v/>
      </c>
      <c r="AI94" t="str">
        <f ca="1">IF(AND(ISNUMBER($AI$292),$B$185=1),$AI$292,HLOOKUP(INDIRECT(ADDRESS(2,COLUMN())),OFFSET($BN$2,0,0,ROW()-1,60),ROW()-1,FALSE))</f>
        <v/>
      </c>
      <c r="AJ94" t="str">
        <f ca="1">IF(AND(ISNUMBER($AJ$292),$B$185=1),$AJ$292,HLOOKUP(INDIRECT(ADDRESS(2,COLUMN())),OFFSET($BN$2,0,0,ROW()-1,60),ROW()-1,FALSE))</f>
        <v/>
      </c>
      <c r="AK94" t="str">
        <f ca="1">IF(AND(ISNUMBER($AK$292),$B$185=1),$AK$292,HLOOKUP(INDIRECT(ADDRESS(2,COLUMN())),OFFSET($BN$2,0,0,ROW()-1,60),ROW()-1,FALSE))</f>
        <v/>
      </c>
      <c r="AL94" t="str">
        <f ca="1">IF(AND(ISNUMBER($AL$292),$B$185=1),$AL$292,HLOOKUP(INDIRECT(ADDRESS(2,COLUMN())),OFFSET($BN$2,0,0,ROW()-1,60),ROW()-1,FALSE))</f>
        <v/>
      </c>
      <c r="AM94" t="str">
        <f ca="1">IF(AND(ISNUMBER($AM$292),$B$185=1),$AM$292,HLOOKUP(INDIRECT(ADDRESS(2,COLUMN())),OFFSET($BN$2,0,0,ROW()-1,60),ROW()-1,FALSE))</f>
        <v/>
      </c>
      <c r="AN94" t="str">
        <f ca="1">IF(AND(ISNUMBER($AN$292),$B$185=1),$AN$292,HLOOKUP(INDIRECT(ADDRESS(2,COLUMN())),OFFSET($BN$2,0,0,ROW()-1,60),ROW()-1,FALSE))</f>
        <v/>
      </c>
      <c r="AO94" t="str">
        <f ca="1">IF(AND(ISNUMBER($AO$292),$B$185=1),$AO$292,HLOOKUP(INDIRECT(ADDRESS(2,COLUMN())),OFFSET($BN$2,0,0,ROW()-1,60),ROW()-1,FALSE))</f>
        <v/>
      </c>
      <c r="AP94" t="str">
        <f ca="1">IF(AND(ISNUMBER($AP$292),$B$185=1),$AP$292,HLOOKUP(INDIRECT(ADDRESS(2,COLUMN())),OFFSET($BN$2,0,0,ROW()-1,60),ROW()-1,FALSE))</f>
        <v/>
      </c>
      <c r="AQ94" t="str">
        <f ca="1">IF(AND(ISNUMBER($AQ$292),$B$185=1),$AQ$292,HLOOKUP(INDIRECT(ADDRESS(2,COLUMN())),OFFSET($BN$2,0,0,ROW()-1,60),ROW()-1,FALSE))</f>
        <v/>
      </c>
      <c r="AR94" t="str">
        <f ca="1">IF(AND(ISNUMBER($AR$292),$B$185=1),$AR$292,HLOOKUP(INDIRECT(ADDRESS(2,COLUMN())),OFFSET($BN$2,0,0,ROW()-1,60),ROW()-1,FALSE))</f>
        <v/>
      </c>
      <c r="AS94" t="str">
        <f ca="1">IF(AND(ISNUMBER($AS$292),$B$185=1),$AS$292,HLOOKUP(INDIRECT(ADDRESS(2,COLUMN())),OFFSET($BN$2,0,0,ROW()-1,60),ROW()-1,FALSE))</f>
        <v/>
      </c>
      <c r="AT94" t="str">
        <f ca="1">IF(AND(ISNUMBER($AT$292),$B$185=1),$AT$292,HLOOKUP(INDIRECT(ADDRESS(2,COLUMN())),OFFSET($BN$2,0,0,ROW()-1,60),ROW()-1,FALSE))</f>
        <v/>
      </c>
      <c r="AU94" t="str">
        <f ca="1">IF(AND(ISNUMBER($AU$292),$B$185=1),$AU$292,HLOOKUP(INDIRECT(ADDRESS(2,COLUMN())),OFFSET($BN$2,0,0,ROW()-1,60),ROW()-1,FALSE))</f>
        <v/>
      </c>
      <c r="AV94" t="str">
        <f ca="1">IF(AND(ISNUMBER($AV$292),$B$185=1),$AV$292,HLOOKUP(INDIRECT(ADDRESS(2,COLUMN())),OFFSET($BN$2,0,0,ROW()-1,60),ROW()-1,FALSE))</f>
        <v/>
      </c>
      <c r="AW94" t="str">
        <f ca="1">IF(AND(ISNUMBER($AW$292),$B$185=1),$AW$292,HLOOKUP(INDIRECT(ADDRESS(2,COLUMN())),OFFSET($BN$2,0,0,ROW()-1,60),ROW()-1,FALSE))</f>
        <v/>
      </c>
      <c r="AX94" t="str">
        <f ca="1">IF(AND(ISNUMBER($AX$292),$B$185=1),$AX$292,HLOOKUP(INDIRECT(ADDRESS(2,COLUMN())),OFFSET($BN$2,0,0,ROW()-1,60),ROW()-1,FALSE))</f>
        <v/>
      </c>
      <c r="AY94" t="str">
        <f ca="1">IF(AND(ISNUMBER($AY$292),$B$185=1),$AY$292,HLOOKUP(INDIRECT(ADDRESS(2,COLUMN())),OFFSET($BN$2,0,0,ROW()-1,60),ROW()-1,FALSE))</f>
        <v/>
      </c>
      <c r="AZ94" t="str">
        <f ca="1">IF(AND(ISNUMBER($AZ$292),$B$185=1),$AZ$292,HLOOKUP(INDIRECT(ADDRESS(2,COLUMN())),OFFSET($BN$2,0,0,ROW()-1,60),ROW()-1,FALSE))</f>
        <v/>
      </c>
      <c r="BA94" t="str">
        <f ca="1">IF(AND(ISNUMBER($BA$292),$B$185=1),$BA$292,HLOOKUP(INDIRECT(ADDRESS(2,COLUMN())),OFFSET($BN$2,0,0,ROW()-1,60),ROW()-1,FALSE))</f>
        <v/>
      </c>
      <c r="BB94" t="str">
        <f ca="1">IF(AND(ISNUMBER($BB$292),$B$185=1),$BB$292,HLOOKUP(INDIRECT(ADDRESS(2,COLUMN())),OFFSET($BN$2,0,0,ROW()-1,60),ROW()-1,FALSE))</f>
        <v/>
      </c>
      <c r="BC94" t="str">
        <f ca="1">IF(AND(ISNUMBER($BC$292),$B$185=1),$BC$292,HLOOKUP(INDIRECT(ADDRESS(2,COLUMN())),OFFSET($BN$2,0,0,ROW()-1,60),ROW()-1,FALSE))</f>
        <v/>
      </c>
      <c r="BD94" t="str">
        <f ca="1">IF(AND(ISNUMBER($BD$292),$B$185=1),$BD$292,HLOOKUP(INDIRECT(ADDRESS(2,COLUMN())),OFFSET($BN$2,0,0,ROW()-1,60),ROW()-1,FALSE))</f>
        <v/>
      </c>
      <c r="BE94" t="str">
        <f ca="1">IF(AND(ISNUMBER($BE$292),$B$185=1),$BE$292,HLOOKUP(INDIRECT(ADDRESS(2,COLUMN())),OFFSET($BN$2,0,0,ROW()-1,60),ROW()-1,FALSE))</f>
        <v/>
      </c>
      <c r="BF94" t="str">
        <f ca="1">IF(AND(ISNUMBER($BF$292),$B$185=1),$BF$292,HLOOKUP(INDIRECT(ADDRESS(2,COLUMN())),OFFSET($BN$2,0,0,ROW()-1,60),ROW()-1,FALSE))</f>
        <v/>
      </c>
      <c r="BG94" t="str">
        <f ca="1">IF(AND(ISNUMBER($BG$292),$B$185=1),$BG$292,HLOOKUP(INDIRECT(ADDRESS(2,COLUMN())),OFFSET($BN$2,0,0,ROW()-1,60),ROW()-1,FALSE))</f>
        <v/>
      </c>
      <c r="BH94" t="str">
        <f ca="1">IF(AND(ISNUMBER($BH$292),$B$185=1),$BH$292,HLOOKUP(INDIRECT(ADDRESS(2,COLUMN())),OFFSET($BN$2,0,0,ROW()-1,60),ROW()-1,FALSE))</f>
        <v/>
      </c>
      <c r="BI94" t="str">
        <f ca="1">IF(AND(ISNUMBER($BI$292),$B$185=1),$BI$292,HLOOKUP(INDIRECT(ADDRESS(2,COLUMN())),OFFSET($BN$2,0,0,ROW()-1,60),ROW()-1,FALSE))</f>
        <v/>
      </c>
      <c r="BJ94" t="str">
        <f ca="1">IF(AND(ISNUMBER($BJ$292),$B$185=1),$BJ$292,HLOOKUP(INDIRECT(ADDRESS(2,COLUMN())),OFFSET($BN$2,0,0,ROW()-1,60),ROW()-1,FALSE))</f>
        <v/>
      </c>
      <c r="BK94" t="str">
        <f ca="1">IF(AND(ISNUMBER($BK$292),$B$185=1),$BK$292,HLOOKUP(INDIRECT(ADDRESS(2,COLUMN())),OFFSET($BN$2,0,0,ROW()-1,60),ROW()-1,FALSE))</f>
        <v/>
      </c>
      <c r="BL94" t="str">
        <f ca="1">IF(AND(ISNUMBER($BL$292),$B$185=1),$BL$292,HLOOKUP(INDIRECT(ADDRESS(2,COLUMN())),OFFSET($BN$2,0,0,ROW()-1,60),ROW()-1,FALSE))</f>
        <v/>
      </c>
      <c r="BM94" t="str">
        <f ca="1">IF(AND(ISNUMBER($BM$292),$B$185=1),$BM$292,HLOOKUP(INDIRECT(ADDRESS(2,COLUMN())),OFFSET($BN$2,0,0,ROW()-1,60),ROW()-1,FALSE))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  <c r="BT94" t="str">
        <f>""</f>
        <v/>
      </c>
      <c r="BU94" t="str">
        <f>""</f>
        <v/>
      </c>
      <c r="BV94" t="str">
        <f>""</f>
        <v/>
      </c>
      <c r="BW94" t="str">
        <f>""</f>
        <v/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  <c r="CH94" t="str">
        <f>""</f>
        <v/>
      </c>
      <c r="CI94" t="str">
        <f>""</f>
        <v/>
      </c>
      <c r="CJ94" t="str">
        <f>""</f>
        <v/>
      </c>
      <c r="CK94" t="str">
        <f>""</f>
        <v/>
      </c>
      <c r="CL94" t="str">
        <f>""</f>
        <v/>
      </c>
      <c r="CM94" t="str">
        <f>""</f>
        <v/>
      </c>
      <c r="CN94" t="str">
        <f>""</f>
        <v/>
      </c>
      <c r="CO94" t="str">
        <f>""</f>
        <v/>
      </c>
      <c r="CP94" t="str">
        <f>""</f>
        <v/>
      </c>
      <c r="CQ94" t="str">
        <f>""</f>
        <v/>
      </c>
      <c r="CR94" t="str">
        <f>""</f>
        <v/>
      </c>
      <c r="CS94" t="str">
        <f>""</f>
        <v/>
      </c>
      <c r="CT94" t="str">
        <f>""</f>
        <v/>
      </c>
      <c r="CU94" t="str">
        <f>""</f>
        <v/>
      </c>
      <c r="CV94" t="str">
        <f>""</f>
        <v/>
      </c>
      <c r="CW94" t="str">
        <f>""</f>
        <v/>
      </c>
      <c r="CX94" t="str">
        <f>""</f>
        <v/>
      </c>
      <c r="CY94" t="str">
        <f>""</f>
        <v/>
      </c>
      <c r="CZ94" t="str">
        <f>""</f>
        <v/>
      </c>
      <c r="DA94" t="str">
        <f>""</f>
        <v/>
      </c>
      <c r="DB94" t="str">
        <f>""</f>
        <v/>
      </c>
      <c r="DC94" t="str">
        <f>""</f>
        <v/>
      </c>
      <c r="DD94" t="str">
        <f>""</f>
        <v/>
      </c>
      <c r="DE94" t="str">
        <f>""</f>
        <v/>
      </c>
      <c r="DF94" t="str">
        <f>""</f>
        <v/>
      </c>
      <c r="DG94" t="str">
        <f>""</f>
        <v/>
      </c>
      <c r="DH94" t="str">
        <f>""</f>
        <v/>
      </c>
      <c r="DI94" t="str">
        <f>""</f>
        <v/>
      </c>
      <c r="DJ94" t="str">
        <f>""</f>
        <v/>
      </c>
      <c r="DK94" t="str">
        <f>""</f>
        <v/>
      </c>
      <c r="DL94" t="str">
        <f>""</f>
        <v/>
      </c>
      <c r="DM94" t="str">
        <f>""</f>
        <v/>
      </c>
      <c r="DN94" t="str">
        <f>""</f>
        <v/>
      </c>
      <c r="DO94" t="str">
        <f>""</f>
        <v/>
      </c>
      <c r="DP94" t="str">
        <f>""</f>
        <v/>
      </c>
      <c r="DQ94" t="str">
        <f>""</f>
        <v/>
      </c>
      <c r="DR94" t="str">
        <f>""</f>
        <v/>
      </c>
      <c r="DS94" t="str">
        <f>""</f>
        <v/>
      </c>
      <c r="DT94" t="str">
        <f>""</f>
        <v/>
      </c>
      <c r="DU94" t="str">
        <f>""</f>
        <v/>
      </c>
    </row>
    <row r="95" spans="1:125">
      <c r="A95" t="str">
        <f>"    PNC Financial Services Group I"</f>
        <v xml:space="preserve">    PNC Financial Services Group I</v>
      </c>
      <c r="B95" t="str">
        <f>"PNC US Equity"</f>
        <v>PNC US Equity</v>
      </c>
      <c r="C95" t="str">
        <f t="shared" si="10"/>
        <v>BS961</v>
      </c>
      <c r="D95" t="str">
        <f t="shared" si="11"/>
        <v>BS_RES_MTG_OWNED_SERVICED_PORT</v>
      </c>
      <c r="E95" t="str">
        <f t="shared" si="12"/>
        <v>Dynamic</v>
      </c>
      <c r="F95" t="str">
        <f ca="1">IF(AND(ISNUMBER($F$293),$B$185=1),$F$293,HLOOKUP(INDIRECT(ADDRESS(2,COLUMN())),OFFSET($BN$2,0,0,ROW()-1,60),ROW()-1,FALSE))</f>
        <v/>
      </c>
      <c r="G95" t="str">
        <f ca="1">IF(AND(ISNUMBER($G$293),$B$185=1),$G$293,HLOOKUP(INDIRECT(ADDRESS(2,COLUMN())),OFFSET($BN$2,0,0,ROW()-1,60),ROW()-1,FALSE))</f>
        <v/>
      </c>
      <c r="H95" t="str">
        <f ca="1">IF(AND(ISNUMBER($H$293),$B$185=1),$H$293,HLOOKUP(INDIRECT(ADDRESS(2,COLUMN())),OFFSET($BN$2,0,0,ROW()-1,60),ROW()-1,FALSE))</f>
        <v/>
      </c>
      <c r="I95" t="str">
        <f ca="1">IF(AND(ISNUMBER($I$293),$B$185=1),$I$293,HLOOKUP(INDIRECT(ADDRESS(2,COLUMN())),OFFSET($BN$2,0,0,ROW()-1,60),ROW()-1,FALSE))</f>
        <v/>
      </c>
      <c r="J95" t="str">
        <f ca="1">IF(AND(ISNUMBER($J$293),$B$185=1),$J$293,HLOOKUP(INDIRECT(ADDRESS(2,COLUMN())),OFFSET($BN$2,0,0,ROW()-1,60),ROW()-1,FALSE))</f>
        <v/>
      </c>
      <c r="K95" t="str">
        <f ca="1">IF(AND(ISNUMBER($K$293),$B$185=1),$K$293,HLOOKUP(INDIRECT(ADDRESS(2,COLUMN())),OFFSET($BN$2,0,0,ROW()-1,60),ROW()-1,FALSE))</f>
        <v/>
      </c>
      <c r="L95" t="str">
        <f ca="1">IF(AND(ISNUMBER($L$293),$B$185=1),$L$293,HLOOKUP(INDIRECT(ADDRESS(2,COLUMN())),OFFSET($BN$2,0,0,ROW()-1,60),ROW()-1,FALSE))</f>
        <v/>
      </c>
      <c r="M95" t="str">
        <f ca="1">IF(AND(ISNUMBER($M$293),$B$185=1),$M$293,HLOOKUP(INDIRECT(ADDRESS(2,COLUMN())),OFFSET($BN$2,0,0,ROW()-1,60),ROW()-1,FALSE))</f>
        <v/>
      </c>
      <c r="N95" t="str">
        <f ca="1">IF(AND(ISNUMBER($N$293),$B$185=1),$N$293,HLOOKUP(INDIRECT(ADDRESS(2,COLUMN())),OFFSET($BN$2,0,0,ROW()-1,60),ROW()-1,FALSE))</f>
        <v/>
      </c>
      <c r="O95" t="str">
        <f ca="1">IF(AND(ISNUMBER($O$293),$B$185=1),$O$293,HLOOKUP(INDIRECT(ADDRESS(2,COLUMN())),OFFSET($BN$2,0,0,ROW()-1,60),ROW()-1,FALSE))</f>
        <v/>
      </c>
      <c r="P95" t="str">
        <f ca="1">IF(AND(ISNUMBER($P$293),$B$185=1),$P$293,HLOOKUP(INDIRECT(ADDRESS(2,COLUMN())),OFFSET($BN$2,0,0,ROW()-1,60),ROW()-1,FALSE))</f>
        <v/>
      </c>
      <c r="Q95" t="str">
        <f ca="1">IF(AND(ISNUMBER($Q$293),$B$185=1),$Q$293,HLOOKUP(INDIRECT(ADDRESS(2,COLUMN())),OFFSET($BN$2,0,0,ROW()-1,60),ROW()-1,FALSE))</f>
        <v/>
      </c>
      <c r="R95" t="str">
        <f ca="1">IF(AND(ISNUMBER($R$293),$B$185=1),$R$293,HLOOKUP(INDIRECT(ADDRESS(2,COLUMN())),OFFSET($BN$2,0,0,ROW()-1,60),ROW()-1,FALSE))</f>
        <v/>
      </c>
      <c r="S95" t="str">
        <f ca="1">IF(AND(ISNUMBER($S$293),$B$185=1),$S$293,HLOOKUP(INDIRECT(ADDRESS(2,COLUMN())),OFFSET($BN$2,0,0,ROW()-1,60),ROW()-1,FALSE))</f>
        <v/>
      </c>
      <c r="T95" t="str">
        <f ca="1">IF(AND(ISNUMBER($T$293),$B$185=1),$T$293,HLOOKUP(INDIRECT(ADDRESS(2,COLUMN())),OFFSET($BN$2,0,0,ROW()-1,60),ROW()-1,FALSE))</f>
        <v/>
      </c>
      <c r="U95" t="str">
        <f ca="1">IF(AND(ISNUMBER($U$293),$B$185=1),$U$293,HLOOKUP(INDIRECT(ADDRESS(2,COLUMN())),OFFSET($BN$2,0,0,ROW()-1,60),ROW()-1,FALSE))</f>
        <v/>
      </c>
      <c r="V95" t="str">
        <f ca="1">IF(AND(ISNUMBER($V$293),$B$185=1),$V$293,HLOOKUP(INDIRECT(ADDRESS(2,COLUMN())),OFFSET($BN$2,0,0,ROW()-1,60),ROW()-1,FALSE))</f>
        <v/>
      </c>
      <c r="W95" t="str">
        <f ca="1">IF(AND(ISNUMBER($W$293),$B$185=1),$W$293,HLOOKUP(INDIRECT(ADDRESS(2,COLUMN())),OFFSET($BN$2,0,0,ROW()-1,60),ROW()-1,FALSE))</f>
        <v/>
      </c>
      <c r="X95" t="str">
        <f ca="1">IF(AND(ISNUMBER($X$293),$B$185=1),$X$293,HLOOKUP(INDIRECT(ADDRESS(2,COLUMN())),OFFSET($BN$2,0,0,ROW()-1,60),ROW()-1,FALSE))</f>
        <v/>
      </c>
      <c r="Y95" t="str">
        <f ca="1">IF(AND(ISNUMBER($Y$293),$B$185=1),$Y$293,HLOOKUP(INDIRECT(ADDRESS(2,COLUMN())),OFFSET($BN$2,0,0,ROW()-1,60),ROW()-1,FALSE))</f>
        <v/>
      </c>
      <c r="Z95" t="str">
        <f ca="1">IF(AND(ISNUMBER($Z$293),$B$185=1),$Z$293,HLOOKUP(INDIRECT(ADDRESS(2,COLUMN())),OFFSET($BN$2,0,0,ROW()-1,60),ROW()-1,FALSE))</f>
        <v/>
      </c>
      <c r="AA95" t="str">
        <f ca="1">IF(AND(ISNUMBER($AA$293),$B$185=1),$AA$293,HLOOKUP(INDIRECT(ADDRESS(2,COLUMN())),OFFSET($BN$2,0,0,ROW()-1,60),ROW()-1,FALSE))</f>
        <v/>
      </c>
      <c r="AB95" t="str">
        <f ca="1">IF(AND(ISNUMBER($AB$293),$B$185=1),$AB$293,HLOOKUP(INDIRECT(ADDRESS(2,COLUMN())),OFFSET($BN$2,0,0,ROW()-1,60),ROW()-1,FALSE))</f>
        <v/>
      </c>
      <c r="AC95" t="str">
        <f ca="1">IF(AND(ISNUMBER($AC$293),$B$185=1),$AC$293,HLOOKUP(INDIRECT(ADDRESS(2,COLUMN())),OFFSET($BN$2,0,0,ROW()-1,60),ROW()-1,FALSE))</f>
        <v/>
      </c>
      <c r="AD95" t="str">
        <f ca="1">IF(AND(ISNUMBER($AD$293),$B$185=1),$AD$293,HLOOKUP(INDIRECT(ADDRESS(2,COLUMN())),OFFSET($BN$2,0,0,ROW()-1,60),ROW()-1,FALSE))</f>
        <v/>
      </c>
      <c r="AE95" t="str">
        <f ca="1">IF(AND(ISNUMBER($AE$293),$B$185=1),$AE$293,HLOOKUP(INDIRECT(ADDRESS(2,COLUMN())),OFFSET($BN$2,0,0,ROW()-1,60),ROW()-1,FALSE))</f>
        <v/>
      </c>
      <c r="AF95" t="str">
        <f ca="1">IF(AND(ISNUMBER($AF$293),$B$185=1),$AF$293,HLOOKUP(INDIRECT(ADDRESS(2,COLUMN())),OFFSET($BN$2,0,0,ROW()-1,60),ROW()-1,FALSE))</f>
        <v/>
      </c>
      <c r="AG95" t="str">
        <f ca="1">IF(AND(ISNUMBER($AG$293),$B$185=1),$AG$293,HLOOKUP(INDIRECT(ADDRESS(2,COLUMN())),OFFSET($BN$2,0,0,ROW()-1,60),ROW()-1,FALSE))</f>
        <v/>
      </c>
      <c r="AH95" t="str">
        <f ca="1">IF(AND(ISNUMBER($AH$293),$B$185=1),$AH$293,HLOOKUP(INDIRECT(ADDRESS(2,COLUMN())),OFFSET($BN$2,0,0,ROW()-1,60),ROW()-1,FALSE))</f>
        <v/>
      </c>
      <c r="AI95" t="str">
        <f ca="1">IF(AND(ISNUMBER($AI$293),$B$185=1),$AI$293,HLOOKUP(INDIRECT(ADDRESS(2,COLUMN())),OFFSET($BN$2,0,0,ROW()-1,60),ROW()-1,FALSE))</f>
        <v/>
      </c>
      <c r="AJ95" t="str">
        <f ca="1">IF(AND(ISNUMBER($AJ$293),$B$185=1),$AJ$293,HLOOKUP(INDIRECT(ADDRESS(2,COLUMN())),OFFSET($BN$2,0,0,ROW()-1,60),ROW()-1,FALSE))</f>
        <v/>
      </c>
      <c r="AK95" t="str">
        <f ca="1">IF(AND(ISNUMBER($AK$293),$B$185=1),$AK$293,HLOOKUP(INDIRECT(ADDRESS(2,COLUMN())),OFFSET($BN$2,0,0,ROW()-1,60),ROW()-1,FALSE))</f>
        <v/>
      </c>
      <c r="AL95" t="str">
        <f ca="1">IF(AND(ISNUMBER($AL$293),$B$185=1),$AL$293,HLOOKUP(INDIRECT(ADDRESS(2,COLUMN())),OFFSET($BN$2,0,0,ROW()-1,60),ROW()-1,FALSE))</f>
        <v/>
      </c>
      <c r="AM95" t="str">
        <f ca="1">IF(AND(ISNUMBER($AM$293),$B$185=1),$AM$293,HLOOKUP(INDIRECT(ADDRESS(2,COLUMN())),OFFSET($BN$2,0,0,ROW()-1,60),ROW()-1,FALSE))</f>
        <v/>
      </c>
      <c r="AN95" t="str">
        <f ca="1">IF(AND(ISNUMBER($AN$293),$B$185=1),$AN$293,HLOOKUP(INDIRECT(ADDRESS(2,COLUMN())),OFFSET($BN$2,0,0,ROW()-1,60),ROW()-1,FALSE))</f>
        <v/>
      </c>
      <c r="AO95" t="str">
        <f ca="1">IF(AND(ISNUMBER($AO$293),$B$185=1),$AO$293,HLOOKUP(INDIRECT(ADDRESS(2,COLUMN())),OFFSET($BN$2,0,0,ROW()-1,60),ROW()-1,FALSE))</f>
        <v/>
      </c>
      <c r="AP95" t="str">
        <f ca="1">IF(AND(ISNUMBER($AP$293),$B$185=1),$AP$293,HLOOKUP(INDIRECT(ADDRESS(2,COLUMN())),OFFSET($BN$2,0,0,ROW()-1,60),ROW()-1,FALSE))</f>
        <v/>
      </c>
      <c r="AQ95" t="str">
        <f ca="1">IF(AND(ISNUMBER($AQ$293),$B$185=1),$AQ$293,HLOOKUP(INDIRECT(ADDRESS(2,COLUMN())),OFFSET($BN$2,0,0,ROW()-1,60),ROW()-1,FALSE))</f>
        <v/>
      </c>
      <c r="AR95" t="str">
        <f ca="1">IF(AND(ISNUMBER($AR$293),$B$185=1),$AR$293,HLOOKUP(INDIRECT(ADDRESS(2,COLUMN())),OFFSET($BN$2,0,0,ROW()-1,60),ROW()-1,FALSE))</f>
        <v/>
      </c>
      <c r="AS95" t="str">
        <f ca="1">IF(AND(ISNUMBER($AS$293),$B$185=1),$AS$293,HLOOKUP(INDIRECT(ADDRESS(2,COLUMN())),OFFSET($BN$2,0,0,ROW()-1,60),ROW()-1,FALSE))</f>
        <v/>
      </c>
      <c r="AT95" t="str">
        <f ca="1">IF(AND(ISNUMBER($AT$293),$B$185=1),$AT$293,HLOOKUP(INDIRECT(ADDRESS(2,COLUMN())),OFFSET($BN$2,0,0,ROW()-1,60),ROW()-1,FALSE))</f>
        <v/>
      </c>
      <c r="AU95" t="str">
        <f ca="1">IF(AND(ISNUMBER($AU$293),$B$185=1),$AU$293,HLOOKUP(INDIRECT(ADDRESS(2,COLUMN())),OFFSET($BN$2,0,0,ROW()-1,60),ROW()-1,FALSE))</f>
        <v/>
      </c>
      <c r="AV95" t="str">
        <f ca="1">IF(AND(ISNUMBER($AV$293),$B$185=1),$AV$293,HLOOKUP(INDIRECT(ADDRESS(2,COLUMN())),OFFSET($BN$2,0,0,ROW()-1,60),ROW()-1,FALSE))</f>
        <v/>
      </c>
      <c r="AW95" t="str">
        <f ca="1">IF(AND(ISNUMBER($AW$293),$B$185=1),$AW$293,HLOOKUP(INDIRECT(ADDRESS(2,COLUMN())),OFFSET($BN$2,0,0,ROW()-1,60),ROW()-1,FALSE))</f>
        <v/>
      </c>
      <c r="AX95" t="str">
        <f ca="1">IF(AND(ISNUMBER($AX$293),$B$185=1),$AX$293,HLOOKUP(INDIRECT(ADDRESS(2,COLUMN())),OFFSET($BN$2,0,0,ROW()-1,60),ROW()-1,FALSE))</f>
        <v/>
      </c>
      <c r="AY95" t="str">
        <f ca="1">IF(AND(ISNUMBER($AY$293),$B$185=1),$AY$293,HLOOKUP(INDIRECT(ADDRESS(2,COLUMN())),OFFSET($BN$2,0,0,ROW()-1,60),ROW()-1,FALSE))</f>
        <v/>
      </c>
      <c r="AZ95" t="str">
        <f ca="1">IF(AND(ISNUMBER($AZ$293),$B$185=1),$AZ$293,HLOOKUP(INDIRECT(ADDRESS(2,COLUMN())),OFFSET($BN$2,0,0,ROW()-1,60),ROW()-1,FALSE))</f>
        <v/>
      </c>
      <c r="BA95" t="str">
        <f ca="1">IF(AND(ISNUMBER($BA$293),$B$185=1),$BA$293,HLOOKUP(INDIRECT(ADDRESS(2,COLUMN())),OFFSET($BN$2,0,0,ROW()-1,60),ROW()-1,FALSE))</f>
        <v/>
      </c>
      <c r="BB95" t="str">
        <f ca="1">IF(AND(ISNUMBER($BB$293),$B$185=1),$BB$293,HLOOKUP(INDIRECT(ADDRESS(2,COLUMN())),OFFSET($BN$2,0,0,ROW()-1,60),ROW()-1,FALSE))</f>
        <v/>
      </c>
      <c r="BC95" t="str">
        <f ca="1">IF(AND(ISNUMBER($BC$293),$B$185=1),$BC$293,HLOOKUP(INDIRECT(ADDRESS(2,COLUMN())),OFFSET($BN$2,0,0,ROW()-1,60),ROW()-1,FALSE))</f>
        <v/>
      </c>
      <c r="BD95" t="str">
        <f ca="1">IF(AND(ISNUMBER($BD$293),$B$185=1),$BD$293,HLOOKUP(INDIRECT(ADDRESS(2,COLUMN())),OFFSET($BN$2,0,0,ROW()-1,60),ROW()-1,FALSE))</f>
        <v/>
      </c>
      <c r="BE95" t="str">
        <f ca="1">IF(AND(ISNUMBER($BE$293),$B$185=1),$BE$293,HLOOKUP(INDIRECT(ADDRESS(2,COLUMN())),OFFSET($BN$2,0,0,ROW()-1,60),ROW()-1,FALSE))</f>
        <v/>
      </c>
      <c r="BF95">
        <f ca="1">IF(AND(ISNUMBER($BF$293),$B$185=1),$BF$293,HLOOKUP(INDIRECT(ADDRESS(2,COLUMN())),OFFSET($BN$2,0,0,ROW()-1,60),ROW()-1,FALSE))</f>
        <v>13000</v>
      </c>
      <c r="BG95" t="str">
        <f ca="1">IF(AND(ISNUMBER($BG$293),$B$185=1),$BG$293,HLOOKUP(INDIRECT(ADDRESS(2,COLUMN())),OFFSET($BN$2,0,0,ROW()-1,60),ROW()-1,FALSE))</f>
        <v/>
      </c>
      <c r="BH95" t="str">
        <f ca="1">IF(AND(ISNUMBER($BH$293),$B$185=1),$BH$293,HLOOKUP(INDIRECT(ADDRESS(2,COLUMN())),OFFSET($BN$2,0,0,ROW()-1,60),ROW()-1,FALSE))</f>
        <v/>
      </c>
      <c r="BI95" t="str">
        <f ca="1">IF(AND(ISNUMBER($BI$293),$B$185=1),$BI$293,HLOOKUP(INDIRECT(ADDRESS(2,COLUMN())),OFFSET($BN$2,0,0,ROW()-1,60),ROW()-1,FALSE))</f>
        <v/>
      </c>
      <c r="BJ95">
        <f ca="1">IF(AND(ISNUMBER($BJ$293),$B$185=1),$BJ$293,HLOOKUP(INDIRECT(ADDRESS(2,COLUMN())),OFFSET($BN$2,0,0,ROW()-1,60),ROW()-1,FALSE))</f>
        <v>14000</v>
      </c>
      <c r="BK95" t="str">
        <f ca="1">IF(AND(ISNUMBER($BK$293),$B$185=1),$BK$293,HLOOKUP(INDIRECT(ADDRESS(2,COLUMN())),OFFSET($BN$2,0,0,ROW()-1,60),ROW()-1,FALSE))</f>
        <v/>
      </c>
      <c r="BL95" t="str">
        <f ca="1">IF(AND(ISNUMBER($BL$293),$B$185=1),$BL$293,HLOOKUP(INDIRECT(ADDRESS(2,COLUMN())),OFFSET($BN$2,0,0,ROW()-1,60),ROW()-1,FALSE))</f>
        <v/>
      </c>
      <c r="BM95" t="str">
        <f ca="1">IF(AND(ISNUMBER($BM$293),$B$185=1),$BM$293,HLOOKUP(INDIRECT(ADDRESS(2,COLUMN())),OFFSET($BN$2,0,0,ROW()-1,60),ROW()-1,FALSE))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  <c r="BT95" t="str">
        <f>""</f>
        <v/>
      </c>
      <c r="BU95" t="str">
        <f>""</f>
        <v/>
      </c>
      <c r="BV95" t="str">
        <f>""</f>
        <v/>
      </c>
      <c r="BW95" t="str">
        <f>""</f>
        <v/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  <c r="CI95" t="str">
        <f>""</f>
        <v/>
      </c>
      <c r="CJ95" t="str">
        <f>""</f>
        <v/>
      </c>
      <c r="CK95" t="str">
        <f>""</f>
        <v/>
      </c>
      <c r="CL95" t="str">
        <f>""</f>
        <v/>
      </c>
      <c r="CM95" t="str">
        <f>""</f>
        <v/>
      </c>
      <c r="CN95" t="str">
        <f>""</f>
        <v/>
      </c>
      <c r="CO95" t="str">
        <f>""</f>
        <v/>
      </c>
      <c r="CP95" t="str">
        <f>""</f>
        <v/>
      </c>
      <c r="CQ95" t="str">
        <f>""</f>
        <v/>
      </c>
      <c r="CR95" t="str">
        <f>""</f>
        <v/>
      </c>
      <c r="CS95" t="str">
        <f>""</f>
        <v/>
      </c>
      <c r="CT95" t="str">
        <f>""</f>
        <v/>
      </c>
      <c r="CU95" t="str">
        <f>""</f>
        <v/>
      </c>
      <c r="CV95" t="str">
        <f>""</f>
        <v/>
      </c>
      <c r="CW95" t="str">
        <f>""</f>
        <v/>
      </c>
      <c r="CX95" t="str">
        <f>""</f>
        <v/>
      </c>
      <c r="CY95" t="str">
        <f>""</f>
        <v/>
      </c>
      <c r="CZ95" t="str">
        <f>""</f>
        <v/>
      </c>
      <c r="DA95" t="str">
        <f>""</f>
        <v/>
      </c>
      <c r="DB95" t="str">
        <f>""</f>
        <v/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>
        <f>13000</f>
        <v>13000</v>
      </c>
      <c r="DO95" t="str">
        <f>""</f>
        <v/>
      </c>
      <c r="DP95" t="str">
        <f>""</f>
        <v/>
      </c>
      <c r="DQ95" t="str">
        <f>""</f>
        <v/>
      </c>
      <c r="DR95">
        <f>14000</f>
        <v>14000</v>
      </c>
      <c r="DS95" t="str">
        <f>""</f>
        <v/>
      </c>
      <c r="DT95" t="str">
        <f>""</f>
        <v/>
      </c>
      <c r="DU95" t="str">
        <f>""</f>
        <v/>
      </c>
    </row>
    <row r="96" spans="1:125">
      <c r="A96" t="str">
        <f>"    Regions Financial Corp"</f>
        <v xml:space="preserve">    Regions Financial Corp</v>
      </c>
      <c r="B96" t="str">
        <f>"RF US Equity"</f>
        <v>RF US Equity</v>
      </c>
      <c r="C96" t="str">
        <f t="shared" si="10"/>
        <v>BS961</v>
      </c>
      <c r="D96" t="str">
        <f t="shared" si="11"/>
        <v>BS_RES_MTG_OWNED_SERVICED_PORT</v>
      </c>
      <c r="E96" t="str">
        <f t="shared" si="12"/>
        <v>Dynamic</v>
      </c>
      <c r="F96" t="str">
        <f ca="1">IF(AND(ISNUMBER($F$294),$B$185=1),$F$294,HLOOKUP(INDIRECT(ADDRESS(2,COLUMN())),OFFSET($BN$2,0,0,ROW()-1,60),ROW()-1,FALSE))</f>
        <v/>
      </c>
      <c r="G96" t="str">
        <f ca="1">IF(AND(ISNUMBER($G$294),$B$185=1),$G$294,HLOOKUP(INDIRECT(ADDRESS(2,COLUMN())),OFFSET($BN$2,0,0,ROW()-1,60),ROW()-1,FALSE))</f>
        <v/>
      </c>
      <c r="H96" t="str">
        <f ca="1">IF(AND(ISNUMBER($H$294),$B$185=1),$H$294,HLOOKUP(INDIRECT(ADDRESS(2,COLUMN())),OFFSET($BN$2,0,0,ROW()-1,60),ROW()-1,FALSE))</f>
        <v/>
      </c>
      <c r="I96" t="str">
        <f ca="1">IF(AND(ISNUMBER($I$294),$B$185=1),$I$294,HLOOKUP(INDIRECT(ADDRESS(2,COLUMN())),OFFSET($BN$2,0,0,ROW()-1,60),ROW()-1,FALSE))</f>
        <v/>
      </c>
      <c r="J96" t="str">
        <f ca="1">IF(AND(ISNUMBER($J$294),$B$185=1),$J$294,HLOOKUP(INDIRECT(ADDRESS(2,COLUMN())),OFFSET($BN$2,0,0,ROW()-1,60),ROW()-1,FALSE))</f>
        <v/>
      </c>
      <c r="K96" t="str">
        <f ca="1">IF(AND(ISNUMBER($K$294),$B$185=1),$K$294,HLOOKUP(INDIRECT(ADDRESS(2,COLUMN())),OFFSET($BN$2,0,0,ROW()-1,60),ROW()-1,FALSE))</f>
        <v/>
      </c>
      <c r="L96" t="str">
        <f ca="1">IF(AND(ISNUMBER($L$294),$B$185=1),$L$294,HLOOKUP(INDIRECT(ADDRESS(2,COLUMN())),OFFSET($BN$2,0,0,ROW()-1,60),ROW()-1,FALSE))</f>
        <v/>
      </c>
      <c r="M96" t="str">
        <f ca="1">IF(AND(ISNUMBER($M$294),$B$185=1),$M$294,HLOOKUP(INDIRECT(ADDRESS(2,COLUMN())),OFFSET($BN$2,0,0,ROW()-1,60),ROW()-1,FALSE))</f>
        <v/>
      </c>
      <c r="N96" t="str">
        <f ca="1">IF(AND(ISNUMBER($N$294),$B$185=1),$N$294,HLOOKUP(INDIRECT(ADDRESS(2,COLUMN())),OFFSET($BN$2,0,0,ROW()-1,60),ROW()-1,FALSE))</f>
        <v/>
      </c>
      <c r="O96" t="str">
        <f ca="1">IF(AND(ISNUMBER($O$294),$B$185=1),$O$294,HLOOKUP(INDIRECT(ADDRESS(2,COLUMN())),OFFSET($BN$2,0,0,ROW()-1,60),ROW()-1,FALSE))</f>
        <v/>
      </c>
      <c r="P96" t="str">
        <f ca="1">IF(AND(ISNUMBER($P$294),$B$185=1),$P$294,HLOOKUP(INDIRECT(ADDRESS(2,COLUMN())),OFFSET($BN$2,0,0,ROW()-1,60),ROW()-1,FALSE))</f>
        <v/>
      </c>
      <c r="Q96" t="str">
        <f ca="1">IF(AND(ISNUMBER($Q$294),$B$185=1),$Q$294,HLOOKUP(INDIRECT(ADDRESS(2,COLUMN())),OFFSET($BN$2,0,0,ROW()-1,60),ROW()-1,FALSE))</f>
        <v/>
      </c>
      <c r="R96" t="str">
        <f ca="1">IF(AND(ISNUMBER($R$294),$B$185=1),$R$294,HLOOKUP(INDIRECT(ADDRESS(2,COLUMN())),OFFSET($BN$2,0,0,ROW()-1,60),ROW()-1,FALSE))</f>
        <v/>
      </c>
      <c r="S96" t="str">
        <f ca="1">IF(AND(ISNUMBER($S$294),$B$185=1),$S$294,HLOOKUP(INDIRECT(ADDRESS(2,COLUMN())),OFFSET($BN$2,0,0,ROW()-1,60),ROW()-1,FALSE))</f>
        <v/>
      </c>
      <c r="T96" t="str">
        <f ca="1">IF(AND(ISNUMBER($T$294),$B$185=1),$T$294,HLOOKUP(INDIRECT(ADDRESS(2,COLUMN())),OFFSET($BN$2,0,0,ROW()-1,60),ROW()-1,FALSE))</f>
        <v/>
      </c>
      <c r="U96" t="str">
        <f ca="1">IF(AND(ISNUMBER($U$294),$B$185=1),$U$294,HLOOKUP(INDIRECT(ADDRESS(2,COLUMN())),OFFSET($BN$2,0,0,ROW()-1,60),ROW()-1,FALSE))</f>
        <v/>
      </c>
      <c r="V96" t="str">
        <f ca="1">IF(AND(ISNUMBER($V$294),$B$185=1),$V$294,HLOOKUP(INDIRECT(ADDRESS(2,COLUMN())),OFFSET($BN$2,0,0,ROW()-1,60),ROW()-1,FALSE))</f>
        <v/>
      </c>
      <c r="W96" t="str">
        <f ca="1">IF(AND(ISNUMBER($W$294),$B$185=1),$W$294,HLOOKUP(INDIRECT(ADDRESS(2,COLUMN())),OFFSET($BN$2,0,0,ROW()-1,60),ROW()-1,FALSE))</f>
        <v/>
      </c>
      <c r="X96" t="str">
        <f ca="1">IF(AND(ISNUMBER($X$294),$B$185=1),$X$294,HLOOKUP(INDIRECT(ADDRESS(2,COLUMN())),OFFSET($BN$2,0,0,ROW()-1,60),ROW()-1,FALSE))</f>
        <v/>
      </c>
      <c r="Y96" t="str">
        <f ca="1">IF(AND(ISNUMBER($Y$294),$B$185=1),$Y$294,HLOOKUP(INDIRECT(ADDRESS(2,COLUMN())),OFFSET($BN$2,0,0,ROW()-1,60),ROW()-1,FALSE))</f>
        <v/>
      </c>
      <c r="Z96" t="str">
        <f ca="1">IF(AND(ISNUMBER($Z$294),$B$185=1),$Z$294,HLOOKUP(INDIRECT(ADDRESS(2,COLUMN())),OFFSET($BN$2,0,0,ROW()-1,60),ROW()-1,FALSE))</f>
        <v/>
      </c>
      <c r="AA96" t="str">
        <f ca="1">IF(AND(ISNUMBER($AA$294),$B$185=1),$AA$294,HLOOKUP(INDIRECT(ADDRESS(2,COLUMN())),OFFSET($BN$2,0,0,ROW()-1,60),ROW()-1,FALSE))</f>
        <v/>
      </c>
      <c r="AB96" t="str">
        <f ca="1">IF(AND(ISNUMBER($AB$294),$B$185=1),$AB$294,HLOOKUP(INDIRECT(ADDRESS(2,COLUMN())),OFFSET($BN$2,0,0,ROW()-1,60),ROW()-1,FALSE))</f>
        <v/>
      </c>
      <c r="AC96" t="str">
        <f ca="1">IF(AND(ISNUMBER($AC$294),$B$185=1),$AC$294,HLOOKUP(INDIRECT(ADDRESS(2,COLUMN())),OFFSET($BN$2,0,0,ROW()-1,60),ROW()-1,FALSE))</f>
        <v/>
      </c>
      <c r="AD96" t="str">
        <f ca="1">IF(AND(ISNUMBER($AD$294),$B$185=1),$AD$294,HLOOKUP(INDIRECT(ADDRESS(2,COLUMN())),OFFSET($BN$2,0,0,ROW()-1,60),ROW()-1,FALSE))</f>
        <v/>
      </c>
      <c r="AE96" t="str">
        <f ca="1">IF(AND(ISNUMBER($AE$294),$B$185=1),$AE$294,HLOOKUP(INDIRECT(ADDRESS(2,COLUMN())),OFFSET($BN$2,0,0,ROW()-1,60),ROW()-1,FALSE))</f>
        <v/>
      </c>
      <c r="AF96" t="str">
        <f ca="1">IF(AND(ISNUMBER($AF$294),$B$185=1),$AF$294,HLOOKUP(INDIRECT(ADDRESS(2,COLUMN())),OFFSET($BN$2,0,0,ROW()-1,60),ROW()-1,FALSE))</f>
        <v/>
      </c>
      <c r="AG96" t="str">
        <f ca="1">IF(AND(ISNUMBER($AG$294),$B$185=1),$AG$294,HLOOKUP(INDIRECT(ADDRESS(2,COLUMN())),OFFSET($BN$2,0,0,ROW()-1,60),ROW()-1,FALSE))</f>
        <v/>
      </c>
      <c r="AH96" t="str">
        <f ca="1">IF(AND(ISNUMBER($AH$294),$B$185=1),$AH$294,HLOOKUP(INDIRECT(ADDRESS(2,COLUMN())),OFFSET($BN$2,0,0,ROW()-1,60),ROW()-1,FALSE))</f>
        <v/>
      </c>
      <c r="AI96" t="str">
        <f ca="1">IF(AND(ISNUMBER($AI$294),$B$185=1),$AI$294,HLOOKUP(INDIRECT(ADDRESS(2,COLUMN())),OFFSET($BN$2,0,0,ROW()-1,60),ROW()-1,FALSE))</f>
        <v/>
      </c>
      <c r="AJ96" t="str">
        <f ca="1">IF(AND(ISNUMBER($AJ$294),$B$185=1),$AJ$294,HLOOKUP(INDIRECT(ADDRESS(2,COLUMN())),OFFSET($BN$2,0,0,ROW()-1,60),ROW()-1,FALSE))</f>
        <v/>
      </c>
      <c r="AK96" t="str">
        <f ca="1">IF(AND(ISNUMBER($AK$294),$B$185=1),$AK$294,HLOOKUP(INDIRECT(ADDRESS(2,COLUMN())),OFFSET($BN$2,0,0,ROW()-1,60),ROW()-1,FALSE))</f>
        <v/>
      </c>
      <c r="AL96" t="str">
        <f ca="1">IF(AND(ISNUMBER($AL$294),$B$185=1),$AL$294,HLOOKUP(INDIRECT(ADDRESS(2,COLUMN())),OFFSET($BN$2,0,0,ROW()-1,60),ROW()-1,FALSE))</f>
        <v/>
      </c>
      <c r="AM96" t="str">
        <f ca="1">IF(AND(ISNUMBER($AM$294),$B$185=1),$AM$294,HLOOKUP(INDIRECT(ADDRESS(2,COLUMN())),OFFSET($BN$2,0,0,ROW()-1,60),ROW()-1,FALSE))</f>
        <v/>
      </c>
      <c r="AN96" t="str">
        <f ca="1">IF(AND(ISNUMBER($AN$294),$B$185=1),$AN$294,HLOOKUP(INDIRECT(ADDRESS(2,COLUMN())),OFFSET($BN$2,0,0,ROW()-1,60),ROW()-1,FALSE))</f>
        <v/>
      </c>
      <c r="AO96" t="str">
        <f ca="1">IF(AND(ISNUMBER($AO$294),$B$185=1),$AO$294,HLOOKUP(INDIRECT(ADDRESS(2,COLUMN())),OFFSET($BN$2,0,0,ROW()-1,60),ROW()-1,FALSE))</f>
        <v/>
      </c>
      <c r="AP96" t="str">
        <f ca="1">IF(AND(ISNUMBER($AP$294),$B$185=1),$AP$294,HLOOKUP(INDIRECT(ADDRESS(2,COLUMN())),OFFSET($BN$2,0,0,ROW()-1,60),ROW()-1,FALSE))</f>
        <v/>
      </c>
      <c r="AQ96" t="str">
        <f ca="1">IF(AND(ISNUMBER($AQ$294),$B$185=1),$AQ$294,HLOOKUP(INDIRECT(ADDRESS(2,COLUMN())),OFFSET($BN$2,0,0,ROW()-1,60),ROW()-1,FALSE))</f>
        <v/>
      </c>
      <c r="AR96" t="str">
        <f ca="1">IF(AND(ISNUMBER($AR$294),$B$185=1),$AR$294,HLOOKUP(INDIRECT(ADDRESS(2,COLUMN())),OFFSET($BN$2,0,0,ROW()-1,60),ROW()-1,FALSE))</f>
        <v/>
      </c>
      <c r="AS96" t="str">
        <f ca="1">IF(AND(ISNUMBER($AS$294),$B$185=1),$AS$294,HLOOKUP(INDIRECT(ADDRESS(2,COLUMN())),OFFSET($BN$2,0,0,ROW()-1,60),ROW()-1,FALSE))</f>
        <v/>
      </c>
      <c r="AT96" t="str">
        <f ca="1">IF(AND(ISNUMBER($AT$294),$B$185=1),$AT$294,HLOOKUP(INDIRECT(ADDRESS(2,COLUMN())),OFFSET($BN$2,0,0,ROW()-1,60),ROW()-1,FALSE))</f>
        <v/>
      </c>
      <c r="AU96" t="str">
        <f ca="1">IF(AND(ISNUMBER($AU$294),$B$185=1),$AU$294,HLOOKUP(INDIRECT(ADDRESS(2,COLUMN())),OFFSET($BN$2,0,0,ROW()-1,60),ROW()-1,FALSE))</f>
        <v/>
      </c>
      <c r="AV96" t="str">
        <f ca="1">IF(AND(ISNUMBER($AV$294),$B$185=1),$AV$294,HLOOKUP(INDIRECT(ADDRESS(2,COLUMN())),OFFSET($BN$2,0,0,ROW()-1,60),ROW()-1,FALSE))</f>
        <v/>
      </c>
      <c r="AW96" t="str">
        <f ca="1">IF(AND(ISNUMBER($AW$294),$B$185=1),$AW$294,HLOOKUP(INDIRECT(ADDRESS(2,COLUMN())),OFFSET($BN$2,0,0,ROW()-1,60),ROW()-1,FALSE))</f>
        <v/>
      </c>
      <c r="AX96" t="str">
        <f ca="1">IF(AND(ISNUMBER($AX$294),$B$185=1),$AX$294,HLOOKUP(INDIRECT(ADDRESS(2,COLUMN())),OFFSET($BN$2,0,0,ROW()-1,60),ROW()-1,FALSE))</f>
        <v/>
      </c>
      <c r="AY96" t="str">
        <f ca="1">IF(AND(ISNUMBER($AY$294),$B$185=1),$AY$294,HLOOKUP(INDIRECT(ADDRESS(2,COLUMN())),OFFSET($BN$2,0,0,ROW()-1,60),ROW()-1,FALSE))</f>
        <v/>
      </c>
      <c r="AZ96" t="str">
        <f ca="1">IF(AND(ISNUMBER($AZ$294),$B$185=1),$AZ$294,HLOOKUP(INDIRECT(ADDRESS(2,COLUMN())),OFFSET($BN$2,0,0,ROW()-1,60),ROW()-1,FALSE))</f>
        <v/>
      </c>
      <c r="BA96" t="str">
        <f ca="1">IF(AND(ISNUMBER($BA$294),$B$185=1),$BA$294,HLOOKUP(INDIRECT(ADDRESS(2,COLUMN())),OFFSET($BN$2,0,0,ROW()-1,60),ROW()-1,FALSE))</f>
        <v/>
      </c>
      <c r="BB96" t="str">
        <f ca="1">IF(AND(ISNUMBER($BB$294),$B$185=1),$BB$294,HLOOKUP(INDIRECT(ADDRESS(2,COLUMN())),OFFSET($BN$2,0,0,ROW()-1,60),ROW()-1,FALSE))</f>
        <v/>
      </c>
      <c r="BC96" t="str">
        <f ca="1">IF(AND(ISNUMBER($BC$294),$B$185=1),$BC$294,HLOOKUP(INDIRECT(ADDRESS(2,COLUMN())),OFFSET($BN$2,0,0,ROW()-1,60),ROW()-1,FALSE))</f>
        <v/>
      </c>
      <c r="BD96" t="str">
        <f ca="1">IF(AND(ISNUMBER($BD$294),$B$185=1),$BD$294,HLOOKUP(INDIRECT(ADDRESS(2,COLUMN())),OFFSET($BN$2,0,0,ROW()-1,60),ROW()-1,FALSE))</f>
        <v/>
      </c>
      <c r="BE96" t="str">
        <f ca="1">IF(AND(ISNUMBER($BE$294),$B$185=1),$BE$294,HLOOKUP(INDIRECT(ADDRESS(2,COLUMN())),OFFSET($BN$2,0,0,ROW()-1,60),ROW()-1,FALSE))</f>
        <v/>
      </c>
      <c r="BF96">
        <f ca="1">IF(AND(ISNUMBER($BF$294),$B$185=1),$BF$294,HLOOKUP(INDIRECT(ADDRESS(2,COLUMN())),OFFSET($BN$2,0,0,ROW()-1,60),ROW()-1,FALSE))</f>
        <v>14400</v>
      </c>
      <c r="BG96" t="str">
        <f ca="1">IF(AND(ISNUMBER($BG$294),$B$185=1),$BG$294,HLOOKUP(INDIRECT(ADDRESS(2,COLUMN())),OFFSET($BN$2,0,0,ROW()-1,60),ROW()-1,FALSE))</f>
        <v/>
      </c>
      <c r="BH96" t="str">
        <f ca="1">IF(AND(ISNUMBER($BH$294),$B$185=1),$BH$294,HLOOKUP(INDIRECT(ADDRESS(2,COLUMN())),OFFSET($BN$2,0,0,ROW()-1,60),ROW()-1,FALSE))</f>
        <v/>
      </c>
      <c r="BI96" t="str">
        <f ca="1">IF(AND(ISNUMBER($BI$294),$B$185=1),$BI$294,HLOOKUP(INDIRECT(ADDRESS(2,COLUMN())),OFFSET($BN$2,0,0,ROW()-1,60),ROW()-1,FALSE))</f>
        <v/>
      </c>
      <c r="BJ96">
        <f ca="1">IF(AND(ISNUMBER($BJ$294),$B$185=1),$BJ$294,HLOOKUP(INDIRECT(ADDRESS(2,COLUMN())),OFFSET($BN$2,0,0,ROW()-1,60),ROW()-1,FALSE))</f>
        <v>15700</v>
      </c>
      <c r="BK96" t="str">
        <f ca="1">IF(AND(ISNUMBER($BK$294),$B$185=1),$BK$294,HLOOKUP(INDIRECT(ADDRESS(2,COLUMN())),OFFSET($BN$2,0,0,ROW()-1,60),ROW()-1,FALSE))</f>
        <v/>
      </c>
      <c r="BL96" t="str">
        <f ca="1">IF(AND(ISNUMBER($BL$294),$B$185=1),$BL$294,HLOOKUP(INDIRECT(ADDRESS(2,COLUMN())),OFFSET($BN$2,0,0,ROW()-1,60),ROW()-1,FALSE))</f>
        <v/>
      </c>
      <c r="BM96" t="str">
        <f ca="1">IF(AND(ISNUMBER($BM$294),$B$185=1),$BM$294,HLOOKUP(INDIRECT(ADDRESS(2,COLUMN())),OFFSET($BN$2,0,0,ROW()-1,60),ROW()-1,FALSE))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""</f>
        <v/>
      </c>
      <c r="CI96" t="str">
        <f>""</f>
        <v/>
      </c>
      <c r="CJ96" t="str">
        <f>""</f>
        <v/>
      </c>
      <c r="CK96" t="str">
        <f>""</f>
        <v/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>
        <f>14400</f>
        <v>14400</v>
      </c>
      <c r="DO96" t="str">
        <f>""</f>
        <v/>
      </c>
      <c r="DP96" t="str">
        <f>""</f>
        <v/>
      </c>
      <c r="DQ96" t="str">
        <f>""</f>
        <v/>
      </c>
      <c r="DR96">
        <f>15700</f>
        <v>15700</v>
      </c>
      <c r="DS96" t="str">
        <f>""</f>
        <v/>
      </c>
      <c r="DT96" t="str">
        <f>""</f>
        <v/>
      </c>
      <c r="DU96" t="str">
        <f>""</f>
        <v/>
      </c>
    </row>
    <row r="97" spans="1:125">
      <c r="A97" t="str">
        <f>"    Signature Bank/New York NY"</f>
        <v xml:space="preserve">    Signature Bank/New York NY</v>
      </c>
      <c r="B97" t="str">
        <f>"SBNY US Equity"</f>
        <v>SBNY US Equity</v>
      </c>
      <c r="C97" t="str">
        <f t="shared" si="10"/>
        <v>BS961</v>
      </c>
      <c r="D97" t="str">
        <f t="shared" si="11"/>
        <v>BS_RES_MTG_OWNED_SERVICED_PORT</v>
      </c>
      <c r="E97" t="str">
        <f t="shared" si="12"/>
        <v>Dynamic</v>
      </c>
      <c r="F97" t="str">
        <f ca="1">IF(AND(ISNUMBER($F$295),$B$185=1),$F$295,HLOOKUP(INDIRECT(ADDRESS(2,COLUMN())),OFFSET($BN$2,0,0,ROW()-1,60),ROW()-1,FALSE))</f>
        <v/>
      </c>
      <c r="G97" t="str">
        <f ca="1">IF(AND(ISNUMBER($G$295),$B$185=1),$G$295,HLOOKUP(INDIRECT(ADDRESS(2,COLUMN())),OFFSET($BN$2,0,0,ROW()-1,60),ROW()-1,FALSE))</f>
        <v/>
      </c>
      <c r="H97" t="str">
        <f ca="1">IF(AND(ISNUMBER($H$295),$B$185=1),$H$295,HLOOKUP(INDIRECT(ADDRESS(2,COLUMN())),OFFSET($BN$2,0,0,ROW()-1,60),ROW()-1,FALSE))</f>
        <v/>
      </c>
      <c r="I97" t="str">
        <f ca="1">IF(AND(ISNUMBER($I$295),$B$185=1),$I$295,HLOOKUP(INDIRECT(ADDRESS(2,COLUMN())),OFFSET($BN$2,0,0,ROW()-1,60),ROW()-1,FALSE))</f>
        <v/>
      </c>
      <c r="J97" t="str">
        <f ca="1">IF(AND(ISNUMBER($J$295),$B$185=1),$J$295,HLOOKUP(INDIRECT(ADDRESS(2,COLUMN())),OFFSET($BN$2,0,0,ROW()-1,60),ROW()-1,FALSE))</f>
        <v/>
      </c>
      <c r="K97" t="str">
        <f ca="1">IF(AND(ISNUMBER($K$295),$B$185=1),$K$295,HLOOKUP(INDIRECT(ADDRESS(2,COLUMN())),OFFSET($BN$2,0,0,ROW()-1,60),ROW()-1,FALSE))</f>
        <v/>
      </c>
      <c r="L97" t="str">
        <f ca="1">IF(AND(ISNUMBER($L$295),$B$185=1),$L$295,HLOOKUP(INDIRECT(ADDRESS(2,COLUMN())),OFFSET($BN$2,0,0,ROW()-1,60),ROW()-1,FALSE))</f>
        <v/>
      </c>
      <c r="M97" t="str">
        <f ca="1">IF(AND(ISNUMBER($M$295),$B$185=1),$M$295,HLOOKUP(INDIRECT(ADDRESS(2,COLUMN())),OFFSET($BN$2,0,0,ROW()-1,60),ROW()-1,FALSE))</f>
        <v/>
      </c>
      <c r="N97" t="str">
        <f ca="1">IF(AND(ISNUMBER($N$295),$B$185=1),$N$295,HLOOKUP(INDIRECT(ADDRESS(2,COLUMN())),OFFSET($BN$2,0,0,ROW()-1,60),ROW()-1,FALSE))</f>
        <v/>
      </c>
      <c r="O97" t="str">
        <f ca="1">IF(AND(ISNUMBER($O$295),$B$185=1),$O$295,HLOOKUP(INDIRECT(ADDRESS(2,COLUMN())),OFFSET($BN$2,0,0,ROW()-1,60),ROW()-1,FALSE))</f>
        <v/>
      </c>
      <c r="P97" t="str">
        <f ca="1">IF(AND(ISNUMBER($P$295),$B$185=1),$P$295,HLOOKUP(INDIRECT(ADDRESS(2,COLUMN())),OFFSET($BN$2,0,0,ROW()-1,60),ROW()-1,FALSE))</f>
        <v/>
      </c>
      <c r="Q97" t="str">
        <f ca="1">IF(AND(ISNUMBER($Q$295),$B$185=1),$Q$295,HLOOKUP(INDIRECT(ADDRESS(2,COLUMN())),OFFSET($BN$2,0,0,ROW()-1,60),ROW()-1,FALSE))</f>
        <v/>
      </c>
      <c r="R97" t="str">
        <f ca="1">IF(AND(ISNUMBER($R$295),$B$185=1),$R$295,HLOOKUP(INDIRECT(ADDRESS(2,COLUMN())),OFFSET($BN$2,0,0,ROW()-1,60),ROW()-1,FALSE))</f>
        <v/>
      </c>
      <c r="S97" t="str">
        <f ca="1">IF(AND(ISNUMBER($S$295),$B$185=1),$S$295,HLOOKUP(INDIRECT(ADDRESS(2,COLUMN())),OFFSET($BN$2,0,0,ROW()-1,60),ROW()-1,FALSE))</f>
        <v/>
      </c>
      <c r="T97" t="str">
        <f ca="1">IF(AND(ISNUMBER($T$295),$B$185=1),$T$295,HLOOKUP(INDIRECT(ADDRESS(2,COLUMN())),OFFSET($BN$2,0,0,ROW()-1,60),ROW()-1,FALSE))</f>
        <v/>
      </c>
      <c r="U97" t="str">
        <f ca="1">IF(AND(ISNUMBER($U$295),$B$185=1),$U$295,HLOOKUP(INDIRECT(ADDRESS(2,COLUMN())),OFFSET($BN$2,0,0,ROW()-1,60),ROW()-1,FALSE))</f>
        <v/>
      </c>
      <c r="V97" t="str">
        <f ca="1">IF(AND(ISNUMBER($V$295),$B$185=1),$V$295,HLOOKUP(INDIRECT(ADDRESS(2,COLUMN())),OFFSET($BN$2,0,0,ROW()-1,60),ROW()-1,FALSE))</f>
        <v/>
      </c>
      <c r="W97" t="str">
        <f ca="1">IF(AND(ISNUMBER($W$295),$B$185=1),$W$295,HLOOKUP(INDIRECT(ADDRESS(2,COLUMN())),OFFSET($BN$2,0,0,ROW()-1,60),ROW()-1,FALSE))</f>
        <v/>
      </c>
      <c r="X97" t="str">
        <f ca="1">IF(AND(ISNUMBER($X$295),$B$185=1),$X$295,HLOOKUP(INDIRECT(ADDRESS(2,COLUMN())),OFFSET($BN$2,0,0,ROW()-1,60),ROW()-1,FALSE))</f>
        <v/>
      </c>
      <c r="Y97" t="str">
        <f ca="1">IF(AND(ISNUMBER($Y$295),$B$185=1),$Y$295,HLOOKUP(INDIRECT(ADDRESS(2,COLUMN())),OFFSET($BN$2,0,0,ROW()-1,60),ROW()-1,FALSE))</f>
        <v/>
      </c>
      <c r="Z97" t="str">
        <f ca="1">IF(AND(ISNUMBER($Z$295),$B$185=1),$Z$295,HLOOKUP(INDIRECT(ADDRESS(2,COLUMN())),OFFSET($BN$2,0,0,ROW()-1,60),ROW()-1,FALSE))</f>
        <v/>
      </c>
      <c r="AA97" t="str">
        <f ca="1">IF(AND(ISNUMBER($AA$295),$B$185=1),$AA$295,HLOOKUP(INDIRECT(ADDRESS(2,COLUMN())),OFFSET($BN$2,0,0,ROW()-1,60),ROW()-1,FALSE))</f>
        <v/>
      </c>
      <c r="AB97" t="str">
        <f ca="1">IF(AND(ISNUMBER($AB$295),$B$185=1),$AB$295,HLOOKUP(INDIRECT(ADDRESS(2,COLUMN())),OFFSET($BN$2,0,0,ROW()-1,60),ROW()-1,FALSE))</f>
        <v/>
      </c>
      <c r="AC97" t="str">
        <f ca="1">IF(AND(ISNUMBER($AC$295),$B$185=1),$AC$295,HLOOKUP(INDIRECT(ADDRESS(2,COLUMN())),OFFSET($BN$2,0,0,ROW()-1,60),ROW()-1,FALSE))</f>
        <v/>
      </c>
      <c r="AD97" t="str">
        <f ca="1">IF(AND(ISNUMBER($AD$295),$B$185=1),$AD$295,HLOOKUP(INDIRECT(ADDRESS(2,COLUMN())),OFFSET($BN$2,0,0,ROW()-1,60),ROW()-1,FALSE))</f>
        <v/>
      </c>
      <c r="AE97" t="str">
        <f ca="1">IF(AND(ISNUMBER($AE$295),$B$185=1),$AE$295,HLOOKUP(INDIRECT(ADDRESS(2,COLUMN())),OFFSET($BN$2,0,0,ROW()-1,60),ROW()-1,FALSE))</f>
        <v/>
      </c>
      <c r="AF97" t="str">
        <f ca="1">IF(AND(ISNUMBER($AF$295),$B$185=1),$AF$295,HLOOKUP(INDIRECT(ADDRESS(2,COLUMN())),OFFSET($BN$2,0,0,ROW()-1,60),ROW()-1,FALSE))</f>
        <v/>
      </c>
      <c r="AG97" t="str">
        <f ca="1">IF(AND(ISNUMBER($AG$295),$B$185=1),$AG$295,HLOOKUP(INDIRECT(ADDRESS(2,COLUMN())),OFFSET($BN$2,0,0,ROW()-1,60),ROW()-1,FALSE))</f>
        <v/>
      </c>
      <c r="AH97" t="str">
        <f ca="1">IF(AND(ISNUMBER($AH$295),$B$185=1),$AH$295,HLOOKUP(INDIRECT(ADDRESS(2,COLUMN())),OFFSET($BN$2,0,0,ROW()-1,60),ROW()-1,FALSE))</f>
        <v/>
      </c>
      <c r="AI97" t="str">
        <f ca="1">IF(AND(ISNUMBER($AI$295),$B$185=1),$AI$295,HLOOKUP(INDIRECT(ADDRESS(2,COLUMN())),OFFSET($BN$2,0,0,ROW()-1,60),ROW()-1,FALSE))</f>
        <v/>
      </c>
      <c r="AJ97" t="str">
        <f ca="1">IF(AND(ISNUMBER($AJ$295),$B$185=1),$AJ$295,HLOOKUP(INDIRECT(ADDRESS(2,COLUMN())),OFFSET($BN$2,0,0,ROW()-1,60),ROW()-1,FALSE))</f>
        <v/>
      </c>
      <c r="AK97" t="str">
        <f ca="1">IF(AND(ISNUMBER($AK$295),$B$185=1),$AK$295,HLOOKUP(INDIRECT(ADDRESS(2,COLUMN())),OFFSET($BN$2,0,0,ROW()-1,60),ROW()-1,FALSE))</f>
        <v/>
      </c>
      <c r="AL97" t="str">
        <f ca="1">IF(AND(ISNUMBER($AL$295),$B$185=1),$AL$295,HLOOKUP(INDIRECT(ADDRESS(2,COLUMN())),OFFSET($BN$2,0,0,ROW()-1,60),ROW()-1,FALSE))</f>
        <v/>
      </c>
      <c r="AM97" t="str">
        <f ca="1">IF(AND(ISNUMBER($AM$295),$B$185=1),$AM$295,HLOOKUP(INDIRECT(ADDRESS(2,COLUMN())),OFFSET($BN$2,0,0,ROW()-1,60),ROW()-1,FALSE))</f>
        <v/>
      </c>
      <c r="AN97" t="str">
        <f ca="1">IF(AND(ISNUMBER($AN$295),$B$185=1),$AN$295,HLOOKUP(INDIRECT(ADDRESS(2,COLUMN())),OFFSET($BN$2,0,0,ROW()-1,60),ROW()-1,FALSE))</f>
        <v/>
      </c>
      <c r="AO97" t="str">
        <f ca="1">IF(AND(ISNUMBER($AO$295),$B$185=1),$AO$295,HLOOKUP(INDIRECT(ADDRESS(2,COLUMN())),OFFSET($BN$2,0,0,ROW()-1,60),ROW()-1,FALSE))</f>
        <v/>
      </c>
      <c r="AP97" t="str">
        <f ca="1">IF(AND(ISNUMBER($AP$295),$B$185=1),$AP$295,HLOOKUP(INDIRECT(ADDRESS(2,COLUMN())),OFFSET($BN$2,0,0,ROW()-1,60),ROW()-1,FALSE))</f>
        <v/>
      </c>
      <c r="AQ97" t="str">
        <f ca="1">IF(AND(ISNUMBER($AQ$295),$B$185=1),$AQ$295,HLOOKUP(INDIRECT(ADDRESS(2,COLUMN())),OFFSET($BN$2,0,0,ROW()-1,60),ROW()-1,FALSE))</f>
        <v/>
      </c>
      <c r="AR97" t="str">
        <f ca="1">IF(AND(ISNUMBER($AR$295),$B$185=1),$AR$295,HLOOKUP(INDIRECT(ADDRESS(2,COLUMN())),OFFSET($BN$2,0,0,ROW()-1,60),ROW()-1,FALSE))</f>
        <v/>
      </c>
      <c r="AS97" t="str">
        <f ca="1">IF(AND(ISNUMBER($AS$295),$B$185=1),$AS$295,HLOOKUP(INDIRECT(ADDRESS(2,COLUMN())),OFFSET($BN$2,0,0,ROW()-1,60),ROW()-1,FALSE))</f>
        <v/>
      </c>
      <c r="AT97" t="str">
        <f ca="1">IF(AND(ISNUMBER($AT$295),$B$185=1),$AT$295,HLOOKUP(INDIRECT(ADDRESS(2,COLUMN())),OFFSET($BN$2,0,0,ROW()-1,60),ROW()-1,FALSE))</f>
        <v/>
      </c>
      <c r="AU97" t="str">
        <f ca="1">IF(AND(ISNUMBER($AU$295),$B$185=1),$AU$295,HLOOKUP(INDIRECT(ADDRESS(2,COLUMN())),OFFSET($BN$2,0,0,ROW()-1,60),ROW()-1,FALSE))</f>
        <v/>
      </c>
      <c r="AV97" t="str">
        <f ca="1">IF(AND(ISNUMBER($AV$295),$B$185=1),$AV$295,HLOOKUP(INDIRECT(ADDRESS(2,COLUMN())),OFFSET($BN$2,0,0,ROW()-1,60),ROW()-1,FALSE))</f>
        <v/>
      </c>
      <c r="AW97" t="str">
        <f ca="1">IF(AND(ISNUMBER($AW$295),$B$185=1),$AW$295,HLOOKUP(INDIRECT(ADDRESS(2,COLUMN())),OFFSET($BN$2,0,0,ROW()-1,60),ROW()-1,FALSE))</f>
        <v/>
      </c>
      <c r="AX97" t="str">
        <f ca="1">IF(AND(ISNUMBER($AX$295),$B$185=1),$AX$295,HLOOKUP(INDIRECT(ADDRESS(2,COLUMN())),OFFSET($BN$2,0,0,ROW()-1,60),ROW()-1,FALSE))</f>
        <v/>
      </c>
      <c r="AY97" t="str">
        <f ca="1">IF(AND(ISNUMBER($AY$295),$B$185=1),$AY$295,HLOOKUP(INDIRECT(ADDRESS(2,COLUMN())),OFFSET($BN$2,0,0,ROW()-1,60),ROW()-1,FALSE))</f>
        <v/>
      </c>
      <c r="AZ97" t="str">
        <f ca="1">IF(AND(ISNUMBER($AZ$295),$B$185=1),$AZ$295,HLOOKUP(INDIRECT(ADDRESS(2,COLUMN())),OFFSET($BN$2,0,0,ROW()-1,60),ROW()-1,FALSE))</f>
        <v/>
      </c>
      <c r="BA97" t="str">
        <f ca="1">IF(AND(ISNUMBER($BA$295),$B$185=1),$BA$295,HLOOKUP(INDIRECT(ADDRESS(2,COLUMN())),OFFSET($BN$2,0,0,ROW()-1,60),ROW()-1,FALSE))</f>
        <v/>
      </c>
      <c r="BB97" t="str">
        <f ca="1">IF(AND(ISNUMBER($BB$295),$B$185=1),$BB$295,HLOOKUP(INDIRECT(ADDRESS(2,COLUMN())),OFFSET($BN$2,0,0,ROW()-1,60),ROW()-1,FALSE))</f>
        <v/>
      </c>
      <c r="BC97" t="str">
        <f ca="1">IF(AND(ISNUMBER($BC$295),$B$185=1),$BC$295,HLOOKUP(INDIRECT(ADDRESS(2,COLUMN())),OFFSET($BN$2,0,0,ROW()-1,60),ROW()-1,FALSE))</f>
        <v/>
      </c>
      <c r="BD97" t="str">
        <f ca="1">IF(AND(ISNUMBER($BD$295),$B$185=1),$BD$295,HLOOKUP(INDIRECT(ADDRESS(2,COLUMN())),OFFSET($BN$2,0,0,ROW()-1,60),ROW()-1,FALSE))</f>
        <v/>
      </c>
      <c r="BE97" t="str">
        <f ca="1">IF(AND(ISNUMBER($BE$295),$B$185=1),$BE$295,HLOOKUP(INDIRECT(ADDRESS(2,COLUMN())),OFFSET($BN$2,0,0,ROW()-1,60),ROW()-1,FALSE))</f>
        <v/>
      </c>
      <c r="BF97" t="str">
        <f ca="1">IF(AND(ISNUMBER($BF$295),$B$185=1),$BF$295,HLOOKUP(INDIRECT(ADDRESS(2,COLUMN())),OFFSET($BN$2,0,0,ROW()-1,60),ROW()-1,FALSE))</f>
        <v/>
      </c>
      <c r="BG97" t="str">
        <f ca="1">IF(AND(ISNUMBER($BG$295),$B$185=1),$BG$295,HLOOKUP(INDIRECT(ADDRESS(2,COLUMN())),OFFSET($BN$2,0,0,ROW()-1,60),ROW()-1,FALSE))</f>
        <v/>
      </c>
      <c r="BH97" t="str">
        <f ca="1">IF(AND(ISNUMBER($BH$295),$B$185=1),$BH$295,HLOOKUP(INDIRECT(ADDRESS(2,COLUMN())),OFFSET($BN$2,0,0,ROW()-1,60),ROW()-1,FALSE))</f>
        <v/>
      </c>
      <c r="BI97" t="str">
        <f ca="1">IF(AND(ISNUMBER($BI$295),$B$185=1),$BI$295,HLOOKUP(INDIRECT(ADDRESS(2,COLUMN())),OFFSET($BN$2,0,0,ROW()-1,60),ROW()-1,FALSE))</f>
        <v/>
      </c>
      <c r="BJ97" t="str">
        <f ca="1">IF(AND(ISNUMBER($BJ$295),$B$185=1),$BJ$295,HLOOKUP(INDIRECT(ADDRESS(2,COLUMN())),OFFSET($BN$2,0,0,ROW()-1,60),ROW()-1,FALSE))</f>
        <v/>
      </c>
      <c r="BK97" t="str">
        <f ca="1">IF(AND(ISNUMBER($BK$295),$B$185=1),$BK$295,HLOOKUP(INDIRECT(ADDRESS(2,COLUMN())),OFFSET($BN$2,0,0,ROW()-1,60),ROW()-1,FALSE))</f>
        <v/>
      </c>
      <c r="BL97" t="str">
        <f ca="1">IF(AND(ISNUMBER($BL$295),$B$185=1),$BL$295,HLOOKUP(INDIRECT(ADDRESS(2,COLUMN())),OFFSET($BN$2,0,0,ROW()-1,60),ROW()-1,FALSE))</f>
        <v/>
      </c>
      <c r="BM97" t="str">
        <f ca="1">IF(AND(ISNUMBER($BM$295),$B$185=1),$BM$295,HLOOKUP(INDIRECT(ADDRESS(2,COLUMN())),OFFSET($BN$2,0,0,ROW()-1,60),ROW()-1,FALSE))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  <c r="BT97" t="str">
        <f>""</f>
        <v/>
      </c>
      <c r="BU97" t="str">
        <f>""</f>
        <v/>
      </c>
      <c r="BV97" t="str">
        <f>""</f>
        <v/>
      </c>
      <c r="BW97" t="str">
        <f>""</f>
        <v/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  <c r="CH97" t="str">
        <f>""</f>
        <v/>
      </c>
      <c r="CI97" t="str">
        <f>""</f>
        <v/>
      </c>
      <c r="CJ97" t="str">
        <f>""</f>
        <v/>
      </c>
      <c r="CK97" t="str">
        <f>""</f>
        <v/>
      </c>
      <c r="CL97" t="str">
        <f>""</f>
        <v/>
      </c>
      <c r="CM97" t="str">
        <f>""</f>
        <v/>
      </c>
      <c r="CN97" t="str">
        <f>""</f>
        <v/>
      </c>
      <c r="CO97" t="str">
        <f>""</f>
        <v/>
      </c>
      <c r="CP97" t="str">
        <f>""</f>
        <v/>
      </c>
      <c r="CQ97" t="str">
        <f>""</f>
        <v/>
      </c>
      <c r="CR97" t="str">
        <f>""</f>
        <v/>
      </c>
      <c r="CS97" t="str">
        <f>""</f>
        <v/>
      </c>
      <c r="CT97" t="str">
        <f>""</f>
        <v/>
      </c>
      <c r="CU97" t="str">
        <f>""</f>
        <v/>
      </c>
      <c r="CV97" t="str">
        <f>""</f>
        <v/>
      </c>
      <c r="CW97" t="str">
        <f>""</f>
        <v/>
      </c>
      <c r="CX97" t="str">
        <f>""</f>
        <v/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 t="str">
        <f>""</f>
        <v/>
      </c>
      <c r="DH97" t="str">
        <f>""</f>
        <v/>
      </c>
      <c r="DI97" t="str">
        <f>""</f>
        <v/>
      </c>
      <c r="DJ97" t="str">
        <f>""</f>
        <v/>
      </c>
      <c r="DK97" t="str">
        <f>""</f>
        <v/>
      </c>
      <c r="DL97" t="str">
        <f>""</f>
        <v/>
      </c>
      <c r="DM97" t="str">
        <f>""</f>
        <v/>
      </c>
      <c r="DN97" t="str">
        <f>""</f>
        <v/>
      </c>
      <c r="DO97" t="str">
        <f>""</f>
        <v/>
      </c>
      <c r="DP97" t="str">
        <f>""</f>
        <v/>
      </c>
      <c r="DQ97" t="str">
        <f>""</f>
        <v/>
      </c>
      <c r="DR97" t="str">
        <f>""</f>
        <v/>
      </c>
      <c r="DS97" t="str">
        <f>""</f>
        <v/>
      </c>
      <c r="DT97" t="str">
        <f>""</f>
        <v/>
      </c>
      <c r="DU97" t="str">
        <f>""</f>
        <v/>
      </c>
    </row>
    <row r="98" spans="1:125">
      <c r="A98" t="str">
        <f>"    SVB Financial Group"</f>
        <v xml:space="preserve">    SVB Financial Group</v>
      </c>
      <c r="B98" t="str">
        <f>"SIVBQ US Equity"</f>
        <v>SIVBQ US Equity</v>
      </c>
      <c r="C98" t="str">
        <f t="shared" si="10"/>
        <v>BS961</v>
      </c>
      <c r="D98" t="str">
        <f t="shared" si="11"/>
        <v>BS_RES_MTG_OWNED_SERVICED_PORT</v>
      </c>
      <c r="E98" t="str">
        <f t="shared" si="12"/>
        <v>Dynamic</v>
      </c>
      <c r="F98" t="str">
        <f ca="1">IF(AND(ISNUMBER($F$296),$B$185=1),$F$296,HLOOKUP(INDIRECT(ADDRESS(2,COLUMN())),OFFSET($BN$2,0,0,ROW()-1,60),ROW()-1,FALSE))</f>
        <v/>
      </c>
      <c r="G98" t="str">
        <f ca="1">IF(AND(ISNUMBER($G$296),$B$185=1),$G$296,HLOOKUP(INDIRECT(ADDRESS(2,COLUMN())),OFFSET($BN$2,0,0,ROW()-1,60),ROW()-1,FALSE))</f>
        <v/>
      </c>
      <c r="H98" t="str">
        <f ca="1">IF(AND(ISNUMBER($H$296),$B$185=1),$H$296,HLOOKUP(INDIRECT(ADDRESS(2,COLUMN())),OFFSET($BN$2,0,0,ROW()-1,60),ROW()-1,FALSE))</f>
        <v/>
      </c>
      <c r="I98" t="str">
        <f ca="1">IF(AND(ISNUMBER($I$296),$B$185=1),$I$296,HLOOKUP(INDIRECT(ADDRESS(2,COLUMN())),OFFSET($BN$2,0,0,ROW()-1,60),ROW()-1,FALSE))</f>
        <v/>
      </c>
      <c r="J98" t="str">
        <f ca="1">IF(AND(ISNUMBER($J$296),$B$185=1),$J$296,HLOOKUP(INDIRECT(ADDRESS(2,COLUMN())),OFFSET($BN$2,0,0,ROW()-1,60),ROW()-1,FALSE))</f>
        <v/>
      </c>
      <c r="K98" t="str">
        <f ca="1">IF(AND(ISNUMBER($K$296),$B$185=1),$K$296,HLOOKUP(INDIRECT(ADDRESS(2,COLUMN())),OFFSET($BN$2,0,0,ROW()-1,60),ROW()-1,FALSE))</f>
        <v/>
      </c>
      <c r="L98" t="str">
        <f ca="1">IF(AND(ISNUMBER($L$296),$B$185=1),$L$296,HLOOKUP(INDIRECT(ADDRESS(2,COLUMN())),OFFSET($BN$2,0,0,ROW()-1,60),ROW()-1,FALSE))</f>
        <v/>
      </c>
      <c r="M98" t="str">
        <f ca="1">IF(AND(ISNUMBER($M$296),$B$185=1),$M$296,HLOOKUP(INDIRECT(ADDRESS(2,COLUMN())),OFFSET($BN$2,0,0,ROW()-1,60),ROW()-1,FALSE))</f>
        <v/>
      </c>
      <c r="N98" t="str">
        <f ca="1">IF(AND(ISNUMBER($N$296),$B$185=1),$N$296,HLOOKUP(INDIRECT(ADDRESS(2,COLUMN())),OFFSET($BN$2,0,0,ROW()-1,60),ROW()-1,FALSE))</f>
        <v/>
      </c>
      <c r="O98" t="str">
        <f ca="1">IF(AND(ISNUMBER($O$296),$B$185=1),$O$296,HLOOKUP(INDIRECT(ADDRESS(2,COLUMN())),OFFSET($BN$2,0,0,ROW()-1,60),ROW()-1,FALSE))</f>
        <v/>
      </c>
      <c r="P98" t="str">
        <f ca="1">IF(AND(ISNUMBER($P$296),$B$185=1),$P$296,HLOOKUP(INDIRECT(ADDRESS(2,COLUMN())),OFFSET($BN$2,0,0,ROW()-1,60),ROW()-1,FALSE))</f>
        <v/>
      </c>
      <c r="Q98" t="str">
        <f ca="1">IF(AND(ISNUMBER($Q$296),$B$185=1),$Q$296,HLOOKUP(INDIRECT(ADDRESS(2,COLUMN())),OFFSET($BN$2,0,0,ROW()-1,60),ROW()-1,FALSE))</f>
        <v/>
      </c>
      <c r="R98" t="str">
        <f ca="1">IF(AND(ISNUMBER($R$296),$B$185=1),$R$296,HLOOKUP(INDIRECT(ADDRESS(2,COLUMN())),OFFSET($BN$2,0,0,ROW()-1,60),ROW()-1,FALSE))</f>
        <v/>
      </c>
      <c r="S98" t="str">
        <f ca="1">IF(AND(ISNUMBER($S$296),$B$185=1),$S$296,HLOOKUP(INDIRECT(ADDRESS(2,COLUMN())),OFFSET($BN$2,0,0,ROW()-1,60),ROW()-1,FALSE))</f>
        <v/>
      </c>
      <c r="T98" t="str">
        <f ca="1">IF(AND(ISNUMBER($T$296),$B$185=1),$T$296,HLOOKUP(INDIRECT(ADDRESS(2,COLUMN())),OFFSET($BN$2,0,0,ROW()-1,60),ROW()-1,FALSE))</f>
        <v/>
      </c>
      <c r="U98" t="str">
        <f ca="1">IF(AND(ISNUMBER($U$296),$B$185=1),$U$296,HLOOKUP(INDIRECT(ADDRESS(2,COLUMN())),OFFSET($BN$2,0,0,ROW()-1,60),ROW()-1,FALSE))</f>
        <v/>
      </c>
      <c r="V98" t="str">
        <f ca="1">IF(AND(ISNUMBER($V$296),$B$185=1),$V$296,HLOOKUP(INDIRECT(ADDRESS(2,COLUMN())),OFFSET($BN$2,0,0,ROW()-1,60),ROW()-1,FALSE))</f>
        <v/>
      </c>
      <c r="W98" t="str">
        <f ca="1">IF(AND(ISNUMBER($W$296),$B$185=1),$W$296,HLOOKUP(INDIRECT(ADDRESS(2,COLUMN())),OFFSET($BN$2,0,0,ROW()-1,60),ROW()-1,FALSE))</f>
        <v/>
      </c>
      <c r="X98" t="str">
        <f ca="1">IF(AND(ISNUMBER($X$296),$B$185=1),$X$296,HLOOKUP(INDIRECT(ADDRESS(2,COLUMN())),OFFSET($BN$2,0,0,ROW()-1,60),ROW()-1,FALSE))</f>
        <v/>
      </c>
      <c r="Y98" t="str">
        <f ca="1">IF(AND(ISNUMBER($Y$296),$B$185=1),$Y$296,HLOOKUP(INDIRECT(ADDRESS(2,COLUMN())),OFFSET($BN$2,0,0,ROW()-1,60),ROW()-1,FALSE))</f>
        <v/>
      </c>
      <c r="Z98" t="str">
        <f ca="1">IF(AND(ISNUMBER($Z$296),$B$185=1),$Z$296,HLOOKUP(INDIRECT(ADDRESS(2,COLUMN())),OFFSET($BN$2,0,0,ROW()-1,60),ROW()-1,FALSE))</f>
        <v/>
      </c>
      <c r="AA98" t="str">
        <f ca="1">IF(AND(ISNUMBER($AA$296),$B$185=1),$AA$296,HLOOKUP(INDIRECT(ADDRESS(2,COLUMN())),OFFSET($BN$2,0,0,ROW()-1,60),ROW()-1,FALSE))</f>
        <v/>
      </c>
      <c r="AB98" t="str">
        <f ca="1">IF(AND(ISNUMBER($AB$296),$B$185=1),$AB$296,HLOOKUP(INDIRECT(ADDRESS(2,COLUMN())),OFFSET($BN$2,0,0,ROW()-1,60),ROW()-1,FALSE))</f>
        <v/>
      </c>
      <c r="AC98" t="str">
        <f ca="1">IF(AND(ISNUMBER($AC$296),$B$185=1),$AC$296,HLOOKUP(INDIRECT(ADDRESS(2,COLUMN())),OFFSET($BN$2,0,0,ROW()-1,60),ROW()-1,FALSE))</f>
        <v/>
      </c>
      <c r="AD98" t="str">
        <f ca="1">IF(AND(ISNUMBER($AD$296),$B$185=1),$AD$296,HLOOKUP(INDIRECT(ADDRESS(2,COLUMN())),OFFSET($BN$2,0,0,ROW()-1,60),ROW()-1,FALSE))</f>
        <v/>
      </c>
      <c r="AE98" t="str">
        <f ca="1">IF(AND(ISNUMBER($AE$296),$B$185=1),$AE$296,HLOOKUP(INDIRECT(ADDRESS(2,COLUMN())),OFFSET($BN$2,0,0,ROW()-1,60),ROW()-1,FALSE))</f>
        <v/>
      </c>
      <c r="AF98" t="str">
        <f ca="1">IF(AND(ISNUMBER($AF$296),$B$185=1),$AF$296,HLOOKUP(INDIRECT(ADDRESS(2,COLUMN())),OFFSET($BN$2,0,0,ROW()-1,60),ROW()-1,FALSE))</f>
        <v/>
      </c>
      <c r="AG98" t="str">
        <f ca="1">IF(AND(ISNUMBER($AG$296),$B$185=1),$AG$296,HLOOKUP(INDIRECT(ADDRESS(2,COLUMN())),OFFSET($BN$2,0,0,ROW()-1,60),ROW()-1,FALSE))</f>
        <v/>
      </c>
      <c r="AH98" t="str">
        <f ca="1">IF(AND(ISNUMBER($AH$296),$B$185=1),$AH$296,HLOOKUP(INDIRECT(ADDRESS(2,COLUMN())),OFFSET($BN$2,0,0,ROW()-1,60),ROW()-1,FALSE))</f>
        <v/>
      </c>
      <c r="AI98" t="str">
        <f ca="1">IF(AND(ISNUMBER($AI$296),$B$185=1),$AI$296,HLOOKUP(INDIRECT(ADDRESS(2,COLUMN())),OFFSET($BN$2,0,0,ROW()-1,60),ROW()-1,FALSE))</f>
        <v/>
      </c>
      <c r="AJ98" t="str">
        <f ca="1">IF(AND(ISNUMBER($AJ$296),$B$185=1),$AJ$296,HLOOKUP(INDIRECT(ADDRESS(2,COLUMN())),OFFSET($BN$2,0,0,ROW()-1,60),ROW()-1,FALSE))</f>
        <v/>
      </c>
      <c r="AK98" t="str">
        <f ca="1">IF(AND(ISNUMBER($AK$296),$B$185=1),$AK$296,HLOOKUP(INDIRECT(ADDRESS(2,COLUMN())),OFFSET($BN$2,0,0,ROW()-1,60),ROW()-1,FALSE))</f>
        <v/>
      </c>
      <c r="AL98" t="str">
        <f ca="1">IF(AND(ISNUMBER($AL$296),$B$185=1),$AL$296,HLOOKUP(INDIRECT(ADDRESS(2,COLUMN())),OFFSET($BN$2,0,0,ROW()-1,60),ROW()-1,FALSE))</f>
        <v/>
      </c>
      <c r="AM98" t="str">
        <f ca="1">IF(AND(ISNUMBER($AM$296),$B$185=1),$AM$296,HLOOKUP(INDIRECT(ADDRESS(2,COLUMN())),OFFSET($BN$2,0,0,ROW()-1,60),ROW()-1,FALSE))</f>
        <v/>
      </c>
      <c r="AN98" t="str">
        <f ca="1">IF(AND(ISNUMBER($AN$296),$B$185=1),$AN$296,HLOOKUP(INDIRECT(ADDRESS(2,COLUMN())),OFFSET($BN$2,0,0,ROW()-1,60),ROW()-1,FALSE))</f>
        <v/>
      </c>
      <c r="AO98" t="str">
        <f ca="1">IF(AND(ISNUMBER($AO$296),$B$185=1),$AO$296,HLOOKUP(INDIRECT(ADDRESS(2,COLUMN())),OFFSET($BN$2,0,0,ROW()-1,60),ROW()-1,FALSE))</f>
        <v/>
      </c>
      <c r="AP98" t="str">
        <f ca="1">IF(AND(ISNUMBER($AP$296),$B$185=1),$AP$296,HLOOKUP(INDIRECT(ADDRESS(2,COLUMN())),OFFSET($BN$2,0,0,ROW()-1,60),ROW()-1,FALSE))</f>
        <v/>
      </c>
      <c r="AQ98" t="str">
        <f ca="1">IF(AND(ISNUMBER($AQ$296),$B$185=1),$AQ$296,HLOOKUP(INDIRECT(ADDRESS(2,COLUMN())),OFFSET($BN$2,0,0,ROW()-1,60),ROW()-1,FALSE))</f>
        <v/>
      </c>
      <c r="AR98" t="str">
        <f ca="1">IF(AND(ISNUMBER($AR$296),$B$185=1),$AR$296,HLOOKUP(INDIRECT(ADDRESS(2,COLUMN())),OFFSET($BN$2,0,0,ROW()-1,60),ROW()-1,FALSE))</f>
        <v/>
      </c>
      <c r="AS98" t="str">
        <f ca="1">IF(AND(ISNUMBER($AS$296),$B$185=1),$AS$296,HLOOKUP(INDIRECT(ADDRESS(2,COLUMN())),OFFSET($BN$2,0,0,ROW()-1,60),ROW()-1,FALSE))</f>
        <v/>
      </c>
      <c r="AT98" t="str">
        <f ca="1">IF(AND(ISNUMBER($AT$296),$B$185=1),$AT$296,HLOOKUP(INDIRECT(ADDRESS(2,COLUMN())),OFFSET($BN$2,0,0,ROW()-1,60),ROW()-1,FALSE))</f>
        <v/>
      </c>
      <c r="AU98" t="str">
        <f ca="1">IF(AND(ISNUMBER($AU$296),$B$185=1),$AU$296,HLOOKUP(INDIRECT(ADDRESS(2,COLUMN())),OFFSET($BN$2,0,0,ROW()-1,60),ROW()-1,FALSE))</f>
        <v/>
      </c>
      <c r="AV98" t="str">
        <f ca="1">IF(AND(ISNUMBER($AV$296),$B$185=1),$AV$296,HLOOKUP(INDIRECT(ADDRESS(2,COLUMN())),OFFSET($BN$2,0,0,ROW()-1,60),ROW()-1,FALSE))</f>
        <v/>
      </c>
      <c r="AW98" t="str">
        <f ca="1">IF(AND(ISNUMBER($AW$296),$B$185=1),$AW$296,HLOOKUP(INDIRECT(ADDRESS(2,COLUMN())),OFFSET($BN$2,0,0,ROW()-1,60),ROW()-1,FALSE))</f>
        <v/>
      </c>
      <c r="AX98" t="str">
        <f ca="1">IF(AND(ISNUMBER($AX$296),$B$185=1),$AX$296,HLOOKUP(INDIRECT(ADDRESS(2,COLUMN())),OFFSET($BN$2,0,0,ROW()-1,60),ROW()-1,FALSE))</f>
        <v/>
      </c>
      <c r="AY98" t="str">
        <f ca="1">IF(AND(ISNUMBER($AY$296),$B$185=1),$AY$296,HLOOKUP(INDIRECT(ADDRESS(2,COLUMN())),OFFSET($BN$2,0,0,ROW()-1,60),ROW()-1,FALSE))</f>
        <v/>
      </c>
      <c r="AZ98" t="str">
        <f ca="1">IF(AND(ISNUMBER($AZ$296),$B$185=1),$AZ$296,HLOOKUP(INDIRECT(ADDRESS(2,COLUMN())),OFFSET($BN$2,0,0,ROW()-1,60),ROW()-1,FALSE))</f>
        <v/>
      </c>
      <c r="BA98" t="str">
        <f ca="1">IF(AND(ISNUMBER($BA$296),$B$185=1),$BA$296,HLOOKUP(INDIRECT(ADDRESS(2,COLUMN())),OFFSET($BN$2,0,0,ROW()-1,60),ROW()-1,FALSE))</f>
        <v/>
      </c>
      <c r="BB98" t="str">
        <f ca="1">IF(AND(ISNUMBER($BB$296),$B$185=1),$BB$296,HLOOKUP(INDIRECT(ADDRESS(2,COLUMN())),OFFSET($BN$2,0,0,ROW()-1,60),ROW()-1,FALSE))</f>
        <v/>
      </c>
      <c r="BC98" t="str">
        <f ca="1">IF(AND(ISNUMBER($BC$296),$B$185=1),$BC$296,HLOOKUP(INDIRECT(ADDRESS(2,COLUMN())),OFFSET($BN$2,0,0,ROW()-1,60),ROW()-1,FALSE))</f>
        <v/>
      </c>
      <c r="BD98" t="str">
        <f ca="1">IF(AND(ISNUMBER($BD$296),$B$185=1),$BD$296,HLOOKUP(INDIRECT(ADDRESS(2,COLUMN())),OFFSET($BN$2,0,0,ROW()-1,60),ROW()-1,FALSE))</f>
        <v/>
      </c>
      <c r="BE98" t="str">
        <f ca="1">IF(AND(ISNUMBER($BE$296),$B$185=1),$BE$296,HLOOKUP(INDIRECT(ADDRESS(2,COLUMN())),OFFSET($BN$2,0,0,ROW()-1,60),ROW()-1,FALSE))</f>
        <v/>
      </c>
      <c r="BF98" t="str">
        <f ca="1">IF(AND(ISNUMBER($BF$296),$B$185=1),$BF$296,HLOOKUP(INDIRECT(ADDRESS(2,COLUMN())),OFFSET($BN$2,0,0,ROW()-1,60),ROW()-1,FALSE))</f>
        <v/>
      </c>
      <c r="BG98" t="str">
        <f ca="1">IF(AND(ISNUMBER($BG$296),$B$185=1),$BG$296,HLOOKUP(INDIRECT(ADDRESS(2,COLUMN())),OFFSET($BN$2,0,0,ROW()-1,60),ROW()-1,FALSE))</f>
        <v/>
      </c>
      <c r="BH98" t="str">
        <f ca="1">IF(AND(ISNUMBER($BH$296),$B$185=1),$BH$296,HLOOKUP(INDIRECT(ADDRESS(2,COLUMN())),OFFSET($BN$2,0,0,ROW()-1,60),ROW()-1,FALSE))</f>
        <v/>
      </c>
      <c r="BI98" t="str">
        <f ca="1">IF(AND(ISNUMBER($BI$296),$B$185=1),$BI$296,HLOOKUP(INDIRECT(ADDRESS(2,COLUMN())),OFFSET($BN$2,0,0,ROW()-1,60),ROW()-1,FALSE))</f>
        <v/>
      </c>
      <c r="BJ98" t="str">
        <f ca="1">IF(AND(ISNUMBER($BJ$296),$B$185=1),$BJ$296,HLOOKUP(INDIRECT(ADDRESS(2,COLUMN())),OFFSET($BN$2,0,0,ROW()-1,60),ROW()-1,FALSE))</f>
        <v/>
      </c>
      <c r="BK98" t="str">
        <f ca="1">IF(AND(ISNUMBER($BK$296),$B$185=1),$BK$296,HLOOKUP(INDIRECT(ADDRESS(2,COLUMN())),OFFSET($BN$2,0,0,ROW()-1,60),ROW()-1,FALSE))</f>
        <v/>
      </c>
      <c r="BL98" t="str">
        <f ca="1">IF(AND(ISNUMBER($BL$296),$B$185=1),$BL$296,HLOOKUP(INDIRECT(ADDRESS(2,COLUMN())),OFFSET($BN$2,0,0,ROW()-1,60),ROW()-1,FALSE))</f>
        <v/>
      </c>
      <c r="BM98" t="str">
        <f ca="1">IF(AND(ISNUMBER($BM$296),$B$185=1),$BM$296,HLOOKUP(INDIRECT(ADDRESS(2,COLUMN())),OFFSET($BN$2,0,0,ROW()-1,60),ROW()-1,FALSE))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  <c r="BT98" t="str">
        <f>""</f>
        <v/>
      </c>
      <c r="BU98" t="str">
        <f>""</f>
        <v/>
      </c>
      <c r="BV98" t="str">
        <f>""</f>
        <v/>
      </c>
      <c r="BW98" t="str">
        <f>""</f>
        <v/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  <c r="CH98" t="str">
        <f>""</f>
        <v/>
      </c>
      <c r="CI98" t="str">
        <f>""</f>
        <v/>
      </c>
      <c r="CJ98" t="str">
        <f>""</f>
        <v/>
      </c>
      <c r="CK98" t="str">
        <f>""</f>
        <v/>
      </c>
      <c r="CL98" t="str">
        <f>""</f>
        <v/>
      </c>
      <c r="CM98" t="str">
        <f>""</f>
        <v/>
      </c>
      <c r="CN98" t="str">
        <f>""</f>
        <v/>
      </c>
      <c r="CO98" t="str">
        <f>""</f>
        <v/>
      </c>
      <c r="CP98" t="str">
        <f>""</f>
        <v/>
      </c>
      <c r="CQ98" t="str">
        <f>""</f>
        <v/>
      </c>
      <c r="CR98" t="str">
        <f>""</f>
        <v/>
      </c>
      <c r="CS98" t="str">
        <f>""</f>
        <v/>
      </c>
      <c r="CT98" t="str">
        <f>""</f>
        <v/>
      </c>
      <c r="CU98" t="str">
        <f>""</f>
        <v/>
      </c>
      <c r="CV98" t="str">
        <f>""</f>
        <v/>
      </c>
      <c r="CW98" t="str">
        <f>""</f>
        <v/>
      </c>
      <c r="CX98" t="str">
        <f>""</f>
        <v/>
      </c>
      <c r="CY98" t="str">
        <f>""</f>
        <v/>
      </c>
      <c r="CZ98" t="str">
        <f>""</f>
        <v/>
      </c>
      <c r="DA98" t="str">
        <f>""</f>
        <v/>
      </c>
      <c r="DB98" t="str">
        <f>""</f>
        <v/>
      </c>
      <c r="DC98" t="str">
        <f>""</f>
        <v/>
      </c>
      <c r="DD98" t="str">
        <f>""</f>
        <v/>
      </c>
      <c r="DE98" t="str">
        <f>""</f>
        <v/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</row>
    <row r="99" spans="1:125">
      <c r="A99" t="str">
        <f>"    Truist Financial Corp"</f>
        <v xml:space="preserve">    Truist Financial Corp</v>
      </c>
      <c r="B99" t="str">
        <f>"TFC US Equity"</f>
        <v>TFC US Equity</v>
      </c>
      <c r="C99" t="str">
        <f t="shared" si="10"/>
        <v>BS961</v>
      </c>
      <c r="D99" t="str">
        <f t="shared" si="11"/>
        <v>BS_RES_MTG_OWNED_SERVICED_PORT</v>
      </c>
      <c r="E99" t="str">
        <f t="shared" si="12"/>
        <v>Dynamic</v>
      </c>
      <c r="F99">
        <f ca="1">IF(AND(ISNUMBER($F$297),$B$185=1),$F$297,HLOOKUP(INDIRECT(ADDRESS(2,COLUMN())),OFFSET($BN$2,0,0,ROW()-1,60),ROW()-1,FALSE))</f>
        <v>54937</v>
      </c>
      <c r="G99">
        <f ca="1">IF(AND(ISNUMBER($G$297),$B$185=1),$G$297,HLOOKUP(INDIRECT(ADDRESS(2,COLUMN())),OFFSET($BN$2,0,0,ROW()-1,60),ROW()-1,FALSE))</f>
        <v>54281</v>
      </c>
      <c r="H99">
        <f ca="1">IF(AND(ISNUMBER($H$297),$B$185=1),$H$297,HLOOKUP(INDIRECT(ADDRESS(2,COLUMN())),OFFSET($BN$2,0,0,ROW()-1,60),ROW()-1,FALSE))</f>
        <v>54903</v>
      </c>
      <c r="I99">
        <f ca="1">IF(AND(ISNUMBER($I$297),$B$185=1),$I$297,HLOOKUP(INDIRECT(ADDRESS(2,COLUMN())),OFFSET($BN$2,0,0,ROW()-1,60),ROW()-1,FALSE))</f>
        <v>55255</v>
      </c>
      <c r="J99">
        <f ca="1">IF(AND(ISNUMBER($J$297),$B$185=1),$J$297,HLOOKUP(INDIRECT(ADDRESS(2,COLUMN())),OFFSET($BN$2,0,0,ROW()-1,60),ROW()-1,FALSE))</f>
        <v>55669</v>
      </c>
      <c r="K99">
        <f ca="1">IF(AND(ISNUMBER($K$297),$B$185=1),$K$297,HLOOKUP(INDIRECT(ADDRESS(2,COLUMN())),OFFSET($BN$2,0,0,ROW()-1,60),ROW()-1,FALSE))</f>
        <v>56679</v>
      </c>
      <c r="L99">
        <f ca="1">IF(AND(ISNUMBER($L$297),$B$185=1),$L$297,HLOOKUP(INDIRECT(ADDRESS(2,COLUMN())),OFFSET($BN$2,0,0,ROW()-1,60),ROW()-1,FALSE))</f>
        <v>57147</v>
      </c>
      <c r="M99">
        <f ca="1">IF(AND(ISNUMBER($M$297),$B$185=1),$M$297,HLOOKUP(INDIRECT(ADDRESS(2,COLUMN())),OFFSET($BN$2,0,0,ROW()-1,60),ROW()-1,FALSE))</f>
        <v>57493</v>
      </c>
      <c r="N99">
        <f ca="1">IF(AND(ISNUMBER($N$297),$B$185=1),$N$297,HLOOKUP(INDIRECT(ADDRESS(2,COLUMN())),OFFSET($BN$2,0,0,ROW()-1,60),ROW()-1,FALSE))</f>
        <v>56982</v>
      </c>
      <c r="O99">
        <f ca="1">IF(AND(ISNUMBER($O$297),$B$185=1),$O$297,HLOOKUP(INDIRECT(ADDRESS(2,COLUMN())),OFFSET($BN$2,0,0,ROW()-1,60),ROW()-1,FALSE))</f>
        <v>56786</v>
      </c>
      <c r="P99">
        <f ca="1">IF(AND(ISNUMBER($P$297),$B$185=1),$P$297,HLOOKUP(INDIRECT(ADDRESS(2,COLUMN())),OFFSET($BN$2,0,0,ROW()-1,60),ROW()-1,FALSE))</f>
        <v>53341</v>
      </c>
      <c r="Q99">
        <f ca="1">IF(AND(ISNUMBER($Q$297),$B$185=1),$Q$297,HLOOKUP(INDIRECT(ADDRESS(2,COLUMN())),OFFSET($BN$2,0,0,ROW()-1,60),ROW()-1,FALSE))</f>
        <v>50927</v>
      </c>
      <c r="R99">
        <f ca="1">IF(AND(ISNUMBER($R$297),$B$185=1),$R$297,HLOOKUP(INDIRECT(ADDRESS(2,COLUMN())),OFFSET($BN$2,0,0,ROW()-1,60),ROW()-1,FALSE))</f>
        <v>50716</v>
      </c>
      <c r="S99">
        <f ca="1">IF(AND(ISNUMBER($S$297),$B$185=1),$S$297,HLOOKUP(INDIRECT(ADDRESS(2,COLUMN())),OFFSET($BN$2,0,0,ROW()-1,60),ROW()-1,FALSE))</f>
        <v>50427</v>
      </c>
      <c r="T99">
        <f ca="1">IF(AND(ISNUMBER($T$297),$B$185=1),$T$297,HLOOKUP(INDIRECT(ADDRESS(2,COLUMN())),OFFSET($BN$2,0,0,ROW()-1,60),ROW()-1,FALSE))</f>
        <v>46031</v>
      </c>
      <c r="U99">
        <f ca="1">IF(AND(ISNUMBER($U$297),$B$185=1),$U$297,HLOOKUP(INDIRECT(ADDRESS(2,COLUMN())),OFFSET($BN$2,0,0,ROW()-1,60),ROW()-1,FALSE))</f>
        <v>48800</v>
      </c>
      <c r="V99">
        <f ca="1">IF(AND(ISNUMBER($V$297),$B$185=1),$V$297,HLOOKUP(INDIRECT(ADDRESS(2,COLUMN())),OFFSET($BN$2,0,0,ROW()-1,60),ROW()-1,FALSE))</f>
        <v>50693</v>
      </c>
      <c r="W99">
        <f ca="1">IF(AND(ISNUMBER($W$297),$B$185=1),$W$297,HLOOKUP(INDIRECT(ADDRESS(2,COLUMN())),OFFSET($BN$2,0,0,ROW()-1,60),ROW()-1,FALSE))</f>
        <v>54587</v>
      </c>
      <c r="X99">
        <f ca="1">IF(AND(ISNUMBER($X$297),$B$185=1),$X$297,HLOOKUP(INDIRECT(ADDRESS(2,COLUMN())),OFFSET($BN$2,0,0,ROW()-1,60),ROW()-1,FALSE))</f>
        <v>56365</v>
      </c>
      <c r="Y99">
        <f ca="1">IF(AND(ISNUMBER($Y$297),$B$185=1),$Y$297,HLOOKUP(INDIRECT(ADDRESS(2,COLUMN())),OFFSET($BN$2,0,0,ROW()-1,60),ROW()-1,FALSE))</f>
        <v>56325</v>
      </c>
      <c r="Z99">
        <f ca="1">IF(AND(ISNUMBER($Z$297),$B$185=1),$Z$297,HLOOKUP(INDIRECT(ADDRESS(2,COLUMN())),OFFSET($BN$2,0,0,ROW()-1,60),ROW()-1,FALSE))</f>
        <v>60211</v>
      </c>
      <c r="AA99">
        <f ca="1">IF(AND(ISNUMBER($AA$297),$B$185=1),$AA$297,HLOOKUP(INDIRECT(ADDRESS(2,COLUMN())),OFFSET($BN$2,0,0,ROW()-1,60),ROW()-1,FALSE))</f>
        <v>29122</v>
      </c>
      <c r="AB99">
        <f ca="1">IF(AND(ISNUMBER($AB$297),$B$185=1),$AB$297,HLOOKUP(INDIRECT(ADDRESS(2,COLUMN())),OFFSET($BN$2,0,0,ROW()-1,60),ROW()-1,FALSE))</f>
        <v>32852</v>
      </c>
      <c r="AC99">
        <f ca="1">IF(AND(ISNUMBER($AC$297),$B$185=1),$AC$297,HLOOKUP(INDIRECT(ADDRESS(2,COLUMN())),OFFSET($BN$2,0,0,ROW()-1,60),ROW()-1,FALSE))</f>
        <v>31861</v>
      </c>
      <c r="AD99">
        <f ca="1">IF(AND(ISNUMBER($AD$297),$B$185=1),$AD$297,HLOOKUP(INDIRECT(ADDRESS(2,COLUMN())),OFFSET($BN$2,0,0,ROW()-1,60),ROW()-1,FALSE))</f>
        <v>31335</v>
      </c>
      <c r="AE99">
        <f ca="1">IF(AND(ISNUMBER($AE$297),$B$185=1),$AE$297,HLOOKUP(INDIRECT(ADDRESS(2,COLUMN())),OFFSET($BN$2,0,0,ROW()-1,60),ROW()-1,FALSE))</f>
        <v>31137</v>
      </c>
      <c r="AF99">
        <f ca="1">IF(AND(ISNUMBER($AF$297),$B$185=1),$AF$297,HLOOKUP(INDIRECT(ADDRESS(2,COLUMN())),OFFSET($BN$2,0,0,ROW()-1,60),ROW()-1,FALSE))</f>
        <v>30261</v>
      </c>
      <c r="AG99">
        <f ca="1">IF(AND(ISNUMBER($AG$297),$B$185=1),$AG$297,HLOOKUP(INDIRECT(ADDRESS(2,COLUMN())),OFFSET($BN$2,0,0,ROW()-1,60),ROW()-1,FALSE))</f>
        <v>29081</v>
      </c>
      <c r="AH99">
        <f ca="1">IF(AND(ISNUMBER($AH$297),$B$185=1),$AH$297,HLOOKUP(INDIRECT(ADDRESS(2,COLUMN())),OFFSET($BN$2,0,0,ROW()-1,60),ROW()-1,FALSE))</f>
        <v>29300</v>
      </c>
      <c r="AI99">
        <f ca="1">IF(AND(ISNUMBER($AI$297),$B$185=1),$AI$297,HLOOKUP(INDIRECT(ADDRESS(2,COLUMN())),OFFSET($BN$2,0,0,ROW()-1,60),ROW()-1,FALSE))</f>
        <v>29345</v>
      </c>
      <c r="AJ99">
        <f ca="1">IF(AND(ISNUMBER($AJ$297),$B$185=1),$AJ$297,HLOOKUP(INDIRECT(ADDRESS(2,COLUMN())),OFFSET($BN$2,0,0,ROW()-1,60),ROW()-1,FALSE))</f>
        <v>30067</v>
      </c>
      <c r="AK99">
        <f ca="1">IF(AND(ISNUMBER($AK$297),$B$185=1),$AK$297,HLOOKUP(INDIRECT(ADDRESS(2,COLUMN())),OFFSET($BN$2,0,0,ROW()-1,60),ROW()-1,FALSE))</f>
        <v>30396</v>
      </c>
      <c r="AL99">
        <f ca="1">IF(AND(ISNUMBER($AL$297),$B$185=1),$AL$297,HLOOKUP(INDIRECT(ADDRESS(2,COLUMN())),OFFSET($BN$2,0,0,ROW()-1,60),ROW()-1,FALSE))</f>
        <v>31314</v>
      </c>
      <c r="AM99">
        <f ca="1">IF(AND(ISNUMBER($AM$297),$B$185=1),$AM$297,HLOOKUP(INDIRECT(ADDRESS(2,COLUMN())),OFFSET($BN$2,0,0,ROW()-1,60),ROW()-1,FALSE))</f>
        <v>32303</v>
      </c>
      <c r="AN99">
        <f ca="1">IF(AND(ISNUMBER($AN$297),$B$185=1),$AN$297,HLOOKUP(INDIRECT(ADDRESS(2,COLUMN())),OFFSET($BN$2,0,0,ROW()-1,60),ROW()-1,FALSE))</f>
        <v>32647</v>
      </c>
      <c r="AO99">
        <f ca="1">IF(AND(ISNUMBER($AO$297),$B$185=1),$AO$297,HLOOKUP(INDIRECT(ADDRESS(2,COLUMN())),OFFSET($BN$2,0,0,ROW()-1,60),ROW()-1,FALSE))</f>
        <v>30962</v>
      </c>
      <c r="AP99">
        <f ca="1">IF(AND(ISNUMBER($AP$297),$B$185=1),$AP$297,HLOOKUP(INDIRECT(ADDRESS(2,COLUMN())),OFFSET($BN$2,0,0,ROW()-1,60),ROW()-1,FALSE))</f>
        <v>31037</v>
      </c>
      <c r="AQ99">
        <f ca="1">IF(AND(ISNUMBER($AQ$297),$B$185=1),$AQ$297,HLOOKUP(INDIRECT(ADDRESS(2,COLUMN())),OFFSET($BN$2,0,0,ROW()-1,60),ROW()-1,FALSE))</f>
        <v>32134</v>
      </c>
      <c r="AR99">
        <f ca="1">IF(AND(ISNUMBER($AR$297),$B$185=1),$AR$297,HLOOKUP(INDIRECT(ADDRESS(2,COLUMN())),OFFSET($BN$2,0,0,ROW()-1,60),ROW()-1,FALSE))</f>
        <v>31302</v>
      </c>
      <c r="AS99">
        <f ca="1">IF(AND(ISNUMBER($AS$297),$B$185=1),$AS$297,HLOOKUP(INDIRECT(ADDRESS(2,COLUMN())),OFFSET($BN$2,0,0,ROW()-1,60),ROW()-1,FALSE))</f>
        <v>31887</v>
      </c>
      <c r="AT99">
        <f ca="1">IF(AND(ISNUMBER($AT$297),$B$185=1),$AT$297,HLOOKUP(INDIRECT(ADDRESS(2,COLUMN())),OFFSET($BN$2,0,0,ROW()-1,60),ROW()-1,FALSE))</f>
        <v>32027</v>
      </c>
      <c r="AU99">
        <f ca="1">IF(AND(ISNUMBER($AU$297),$B$185=1),$AU$297,HLOOKUP(INDIRECT(ADDRESS(2,COLUMN())),OFFSET($BN$2,0,0,ROW()-1,60),ROW()-1,FALSE))</f>
        <v>33490</v>
      </c>
      <c r="AV99">
        <f ca="1">IF(AND(ISNUMBER($AV$297),$B$185=1),$AV$297,HLOOKUP(INDIRECT(ADDRESS(2,COLUMN())),OFFSET($BN$2,0,0,ROW()-1,60),ROW()-1,FALSE))</f>
        <v>34154</v>
      </c>
      <c r="AW99">
        <f ca="1">IF(AND(ISNUMBER($AW$297),$B$185=1),$AW$297,HLOOKUP(INDIRECT(ADDRESS(2,COLUMN())),OFFSET($BN$2,0,0,ROW()-1,60),ROW()-1,FALSE))</f>
        <v>33703</v>
      </c>
      <c r="AX99">
        <f ca="1">IF(AND(ISNUMBER($AX$297),$B$185=1),$AX$297,HLOOKUP(INDIRECT(ADDRESS(2,COLUMN())),OFFSET($BN$2,0,0,ROW()-1,60),ROW()-1,FALSE))</f>
        <v>25401</v>
      </c>
      <c r="AY99">
        <f ca="1">IF(AND(ISNUMBER($AY$297),$B$185=1),$AY$297,HLOOKUP(INDIRECT(ADDRESS(2,COLUMN())),OFFSET($BN$2,0,0,ROW()-1,60),ROW()-1,FALSE))</f>
        <v>26782</v>
      </c>
      <c r="AZ99">
        <f ca="1">IF(AND(ISNUMBER($AZ$297),$B$185=1),$AZ$297,HLOOKUP(INDIRECT(ADDRESS(2,COLUMN())),OFFSET($BN$2,0,0,ROW()-1,60),ROW()-1,FALSE))</f>
        <v>26211</v>
      </c>
      <c r="BA99">
        <f ca="1">IF(AND(ISNUMBER($BA$297),$B$185=1),$BA$297,HLOOKUP(INDIRECT(ADDRESS(2,COLUMN())),OFFSET($BN$2,0,0,ROW()-1,60),ROW()-1,FALSE))</f>
        <v>26962</v>
      </c>
      <c r="BB99">
        <f ca="1">IF(AND(ISNUMBER($BB$297),$B$185=1),$BB$297,HLOOKUP(INDIRECT(ADDRESS(2,COLUMN())),OFFSET($BN$2,0,0,ROW()-1,60),ROW()-1,FALSE))</f>
        <v>27501</v>
      </c>
      <c r="BC99">
        <f ca="1">IF(AND(ISNUMBER($BC$297),$B$185=1),$BC$297,HLOOKUP(INDIRECT(ADDRESS(2,COLUMN())),OFFSET($BN$2,0,0,ROW()-1,60),ROW()-1,FALSE))</f>
        <v>27194</v>
      </c>
      <c r="BD99">
        <f ca="1">IF(AND(ISNUMBER($BD$297),$B$185=1),$BD$297,HLOOKUP(INDIRECT(ADDRESS(2,COLUMN())),OFFSET($BN$2,0,0,ROW()-1,60),ROW()-1,FALSE))</f>
        <v>26171</v>
      </c>
      <c r="BE99">
        <f ca="1">IF(AND(ISNUMBER($BE$297),$B$185=1),$BE$297,HLOOKUP(INDIRECT(ADDRESS(2,COLUMN())),OFFSET($BN$2,0,0,ROW()-1,60),ROW()-1,FALSE))</f>
        <v>24308</v>
      </c>
      <c r="BF99">
        <f ca="1">IF(AND(ISNUMBER($BF$297),$B$185=1),$BF$297,HLOOKUP(INDIRECT(ADDRESS(2,COLUMN())),OFFSET($BN$2,0,0,ROW()-1,60),ROW()-1,FALSE))</f>
        <v>24574</v>
      </c>
      <c r="BG99">
        <f ca="1">IF(AND(ISNUMBER($BG$297),$B$185=1),$BG$297,HLOOKUP(INDIRECT(ADDRESS(2,COLUMN())),OFFSET($BN$2,0,0,ROW()-1,60),ROW()-1,FALSE))</f>
        <v>22413</v>
      </c>
      <c r="BH99">
        <f ca="1">IF(AND(ISNUMBER($BH$297),$B$185=1),$BH$297,HLOOKUP(INDIRECT(ADDRESS(2,COLUMN())),OFFSET($BN$2,0,0,ROW()-1,60),ROW()-1,FALSE))</f>
        <v>20956</v>
      </c>
      <c r="BI99">
        <f ca="1">IF(AND(ISNUMBER($BI$297),$B$185=1),$BI$297,HLOOKUP(INDIRECT(ADDRESS(2,COLUMN())),OFFSET($BN$2,0,0,ROW()-1,60),ROW()-1,FALSE))</f>
        <v>21271</v>
      </c>
      <c r="BJ99">
        <f ca="1">IF(AND(ISNUMBER($BJ$297),$B$185=1),$BJ$297,HLOOKUP(INDIRECT(ADDRESS(2,COLUMN())),OFFSET($BN$2,0,0,ROW()-1,60),ROW()-1,FALSE))</f>
        <v>21680</v>
      </c>
      <c r="BK99">
        <f ca="1">IF(AND(ISNUMBER($BK$297),$B$185=1),$BK$297,HLOOKUP(INDIRECT(ADDRESS(2,COLUMN())),OFFSET($BN$2,0,0,ROW()-1,60),ROW()-1,FALSE))</f>
        <v>20331</v>
      </c>
      <c r="BL99">
        <f ca="1">IF(AND(ISNUMBER($BL$297),$B$185=1),$BL$297,HLOOKUP(INDIRECT(ADDRESS(2,COLUMN())),OFFSET($BN$2,0,0,ROW()-1,60),ROW()-1,FALSE))</f>
        <v>18621</v>
      </c>
      <c r="BM99" t="str">
        <f ca="1">IF(AND(ISNUMBER($BM$297),$B$185=1),$BM$297,HLOOKUP(INDIRECT(ADDRESS(2,COLUMN())),OFFSET($BN$2,0,0,ROW()-1,60),ROW()-1,FALSE))</f>
        <v/>
      </c>
      <c r="BN99">
        <f>54937</f>
        <v>54937</v>
      </c>
      <c r="BO99">
        <f>54281</f>
        <v>54281</v>
      </c>
      <c r="BP99">
        <f>54903</f>
        <v>54903</v>
      </c>
      <c r="BQ99">
        <f>55255</f>
        <v>55255</v>
      </c>
      <c r="BR99">
        <f>55669</f>
        <v>55669</v>
      </c>
      <c r="BS99">
        <f>56679</f>
        <v>56679</v>
      </c>
      <c r="BT99">
        <f>57147</f>
        <v>57147</v>
      </c>
      <c r="BU99">
        <f>57493</f>
        <v>57493</v>
      </c>
      <c r="BV99">
        <f>56982</f>
        <v>56982</v>
      </c>
      <c r="BW99">
        <f>56786</f>
        <v>56786</v>
      </c>
      <c r="BX99">
        <f>53341</f>
        <v>53341</v>
      </c>
      <c r="BY99">
        <f>50927</f>
        <v>50927</v>
      </c>
      <c r="BZ99">
        <f>50716</f>
        <v>50716</v>
      </c>
      <c r="CA99">
        <f>50427</f>
        <v>50427</v>
      </c>
      <c r="CB99">
        <f>46031</f>
        <v>46031</v>
      </c>
      <c r="CC99">
        <f>48800</f>
        <v>48800</v>
      </c>
      <c r="CD99">
        <f>50693</f>
        <v>50693</v>
      </c>
      <c r="CE99">
        <f>54587</f>
        <v>54587</v>
      </c>
      <c r="CF99">
        <f>56365</f>
        <v>56365</v>
      </c>
      <c r="CG99">
        <f>56325</f>
        <v>56325</v>
      </c>
      <c r="CH99">
        <f>60211</f>
        <v>60211</v>
      </c>
      <c r="CI99">
        <f>29122</f>
        <v>29122</v>
      </c>
      <c r="CJ99">
        <f>32852</f>
        <v>32852</v>
      </c>
      <c r="CK99">
        <f>31861</f>
        <v>31861</v>
      </c>
      <c r="CL99">
        <f>31335</f>
        <v>31335</v>
      </c>
      <c r="CM99">
        <f>31137</f>
        <v>31137</v>
      </c>
      <c r="CN99">
        <f>30261</f>
        <v>30261</v>
      </c>
      <c r="CO99">
        <f>29081</f>
        <v>29081</v>
      </c>
      <c r="CP99">
        <f>29300</f>
        <v>29300</v>
      </c>
      <c r="CQ99">
        <f>29345</f>
        <v>29345</v>
      </c>
      <c r="CR99">
        <f>30067</f>
        <v>30067</v>
      </c>
      <c r="CS99">
        <f>30396</f>
        <v>30396</v>
      </c>
      <c r="CT99">
        <f>31314</f>
        <v>31314</v>
      </c>
      <c r="CU99">
        <f>32303</f>
        <v>32303</v>
      </c>
      <c r="CV99">
        <f>32647</f>
        <v>32647</v>
      </c>
      <c r="CW99">
        <f>30962</f>
        <v>30962</v>
      </c>
      <c r="CX99">
        <f>31037</f>
        <v>31037</v>
      </c>
      <c r="CY99">
        <f>32134</f>
        <v>32134</v>
      </c>
      <c r="CZ99">
        <f>31302</f>
        <v>31302</v>
      </c>
      <c r="DA99">
        <f>31887</f>
        <v>31887</v>
      </c>
      <c r="DB99">
        <f>32027</f>
        <v>32027</v>
      </c>
      <c r="DC99">
        <f>33490</f>
        <v>33490</v>
      </c>
      <c r="DD99">
        <f>34154</f>
        <v>34154</v>
      </c>
      <c r="DE99">
        <f>33703</f>
        <v>33703</v>
      </c>
      <c r="DF99">
        <f>25401</f>
        <v>25401</v>
      </c>
      <c r="DG99">
        <f>26782</f>
        <v>26782</v>
      </c>
      <c r="DH99">
        <f>26211</f>
        <v>26211</v>
      </c>
      <c r="DI99">
        <f>26962</f>
        <v>26962</v>
      </c>
      <c r="DJ99">
        <f>27501</f>
        <v>27501</v>
      </c>
      <c r="DK99">
        <f>27194</f>
        <v>27194</v>
      </c>
      <c r="DL99">
        <f>26171</f>
        <v>26171</v>
      </c>
      <c r="DM99">
        <f>24308</f>
        <v>24308</v>
      </c>
      <c r="DN99">
        <f>24574</f>
        <v>24574</v>
      </c>
      <c r="DO99">
        <f>22413</f>
        <v>22413</v>
      </c>
      <c r="DP99">
        <f>20956</f>
        <v>20956</v>
      </c>
      <c r="DQ99">
        <f>21271</f>
        <v>21271</v>
      </c>
      <c r="DR99">
        <f>21680</f>
        <v>21680</v>
      </c>
      <c r="DS99">
        <f>20331</f>
        <v>20331</v>
      </c>
      <c r="DT99">
        <f>18621</f>
        <v>18621</v>
      </c>
      <c r="DU99" t="str">
        <f>""</f>
        <v/>
      </c>
    </row>
    <row r="100" spans="1:125">
      <c r="A100" t="str">
        <f>"    US Bancorp"</f>
        <v xml:space="preserve">    US Bancorp</v>
      </c>
      <c r="B100" t="str">
        <f>"USB US Equity"</f>
        <v>USB US Equity</v>
      </c>
      <c r="C100" t="str">
        <f t="shared" si="10"/>
        <v>BS961</v>
      </c>
      <c r="D100" t="str">
        <f t="shared" si="11"/>
        <v>BS_RES_MTG_OWNED_SERVICED_PORT</v>
      </c>
      <c r="E100" t="str">
        <f t="shared" si="12"/>
        <v>Dynamic</v>
      </c>
      <c r="F100" t="str">
        <f ca="1">IF(AND(ISNUMBER($F$298),$B$185=1),$F$298,HLOOKUP(INDIRECT(ADDRESS(2,COLUMN())),OFFSET($BN$2,0,0,ROW()-1,60),ROW()-1,FALSE))</f>
        <v/>
      </c>
      <c r="G100" t="str">
        <f ca="1">IF(AND(ISNUMBER($G$298),$B$185=1),$G$298,HLOOKUP(INDIRECT(ADDRESS(2,COLUMN())),OFFSET($BN$2,0,0,ROW()-1,60),ROW()-1,FALSE))</f>
        <v/>
      </c>
      <c r="H100" t="str">
        <f ca="1">IF(AND(ISNUMBER($H$298),$B$185=1),$H$298,HLOOKUP(INDIRECT(ADDRESS(2,COLUMN())),OFFSET($BN$2,0,0,ROW()-1,60),ROW()-1,FALSE))</f>
        <v/>
      </c>
      <c r="I100" t="str">
        <f ca="1">IF(AND(ISNUMBER($I$298),$B$185=1),$I$298,HLOOKUP(INDIRECT(ADDRESS(2,COLUMN())),OFFSET($BN$2,0,0,ROW()-1,60),ROW()-1,FALSE))</f>
        <v/>
      </c>
      <c r="J100" t="str">
        <f ca="1">IF(AND(ISNUMBER($J$298),$B$185=1),$J$298,HLOOKUP(INDIRECT(ADDRESS(2,COLUMN())),OFFSET($BN$2,0,0,ROW()-1,60),ROW()-1,FALSE))</f>
        <v/>
      </c>
      <c r="K100" t="str">
        <f ca="1">IF(AND(ISNUMBER($K$298),$B$185=1),$K$298,HLOOKUP(INDIRECT(ADDRESS(2,COLUMN())),OFFSET($BN$2,0,0,ROW()-1,60),ROW()-1,FALSE))</f>
        <v/>
      </c>
      <c r="L100" t="str">
        <f ca="1">IF(AND(ISNUMBER($L$298),$B$185=1),$L$298,HLOOKUP(INDIRECT(ADDRESS(2,COLUMN())),OFFSET($BN$2,0,0,ROW()-1,60),ROW()-1,FALSE))</f>
        <v/>
      </c>
      <c r="M100" t="str">
        <f ca="1">IF(AND(ISNUMBER($M$298),$B$185=1),$M$298,HLOOKUP(INDIRECT(ADDRESS(2,COLUMN())),OFFSET($BN$2,0,0,ROW()-1,60),ROW()-1,FALSE))</f>
        <v/>
      </c>
      <c r="N100" t="str">
        <f ca="1">IF(AND(ISNUMBER($N$298),$B$185=1),$N$298,HLOOKUP(INDIRECT(ADDRESS(2,COLUMN())),OFFSET($BN$2,0,0,ROW()-1,60),ROW()-1,FALSE))</f>
        <v/>
      </c>
      <c r="O100" t="str">
        <f ca="1">IF(AND(ISNUMBER($O$298),$B$185=1),$O$298,HLOOKUP(INDIRECT(ADDRESS(2,COLUMN())),OFFSET($BN$2,0,0,ROW()-1,60),ROW()-1,FALSE))</f>
        <v/>
      </c>
      <c r="P100" t="str">
        <f ca="1">IF(AND(ISNUMBER($P$298),$B$185=1),$P$298,HLOOKUP(INDIRECT(ADDRESS(2,COLUMN())),OFFSET($BN$2,0,0,ROW()-1,60),ROW()-1,FALSE))</f>
        <v/>
      </c>
      <c r="Q100" t="str">
        <f ca="1">IF(AND(ISNUMBER($Q$298),$B$185=1),$Q$298,HLOOKUP(INDIRECT(ADDRESS(2,COLUMN())),OFFSET($BN$2,0,0,ROW()-1,60),ROW()-1,FALSE))</f>
        <v/>
      </c>
      <c r="R100" t="str">
        <f ca="1">IF(AND(ISNUMBER($R$298),$B$185=1),$R$298,HLOOKUP(INDIRECT(ADDRESS(2,COLUMN())),OFFSET($BN$2,0,0,ROW()-1,60),ROW()-1,FALSE))</f>
        <v/>
      </c>
      <c r="S100" t="str">
        <f ca="1">IF(AND(ISNUMBER($S$298),$B$185=1),$S$298,HLOOKUP(INDIRECT(ADDRESS(2,COLUMN())),OFFSET($BN$2,0,0,ROW()-1,60),ROW()-1,FALSE))</f>
        <v/>
      </c>
      <c r="T100" t="str">
        <f ca="1">IF(AND(ISNUMBER($T$298),$B$185=1),$T$298,HLOOKUP(INDIRECT(ADDRESS(2,COLUMN())),OFFSET($BN$2,0,0,ROW()-1,60),ROW()-1,FALSE))</f>
        <v/>
      </c>
      <c r="U100" t="str">
        <f ca="1">IF(AND(ISNUMBER($U$298),$B$185=1),$U$298,HLOOKUP(INDIRECT(ADDRESS(2,COLUMN())),OFFSET($BN$2,0,0,ROW()-1,60),ROW()-1,FALSE))</f>
        <v/>
      </c>
      <c r="V100" t="str">
        <f ca="1">IF(AND(ISNUMBER($V$298),$B$185=1),$V$298,HLOOKUP(INDIRECT(ADDRESS(2,COLUMN())),OFFSET($BN$2,0,0,ROW()-1,60),ROW()-1,FALSE))</f>
        <v/>
      </c>
      <c r="W100" t="str">
        <f ca="1">IF(AND(ISNUMBER($W$298),$B$185=1),$W$298,HLOOKUP(INDIRECT(ADDRESS(2,COLUMN())),OFFSET($BN$2,0,0,ROW()-1,60),ROW()-1,FALSE))</f>
        <v/>
      </c>
      <c r="X100" t="str">
        <f ca="1">IF(AND(ISNUMBER($X$298),$B$185=1),$X$298,HLOOKUP(INDIRECT(ADDRESS(2,COLUMN())),OFFSET($BN$2,0,0,ROW()-1,60),ROW()-1,FALSE))</f>
        <v/>
      </c>
      <c r="Y100" t="str">
        <f ca="1">IF(AND(ISNUMBER($Y$298),$B$185=1),$Y$298,HLOOKUP(INDIRECT(ADDRESS(2,COLUMN())),OFFSET($BN$2,0,0,ROW()-1,60),ROW()-1,FALSE))</f>
        <v/>
      </c>
      <c r="Z100" t="str">
        <f ca="1">IF(AND(ISNUMBER($Z$298),$B$185=1),$Z$298,HLOOKUP(INDIRECT(ADDRESS(2,COLUMN())),OFFSET($BN$2,0,0,ROW()-1,60),ROW()-1,FALSE))</f>
        <v/>
      </c>
      <c r="AA100" t="str">
        <f ca="1">IF(AND(ISNUMBER($AA$298),$B$185=1),$AA$298,HLOOKUP(INDIRECT(ADDRESS(2,COLUMN())),OFFSET($BN$2,0,0,ROW()-1,60),ROW()-1,FALSE))</f>
        <v/>
      </c>
      <c r="AB100" t="str">
        <f ca="1">IF(AND(ISNUMBER($AB$298),$B$185=1),$AB$298,HLOOKUP(INDIRECT(ADDRESS(2,COLUMN())),OFFSET($BN$2,0,0,ROW()-1,60),ROW()-1,FALSE))</f>
        <v/>
      </c>
      <c r="AC100" t="str">
        <f ca="1">IF(AND(ISNUMBER($AC$298),$B$185=1),$AC$298,HLOOKUP(INDIRECT(ADDRESS(2,COLUMN())),OFFSET($BN$2,0,0,ROW()-1,60),ROW()-1,FALSE))</f>
        <v/>
      </c>
      <c r="AD100" t="str">
        <f ca="1">IF(AND(ISNUMBER($AD$298),$B$185=1),$AD$298,HLOOKUP(INDIRECT(ADDRESS(2,COLUMN())),OFFSET($BN$2,0,0,ROW()-1,60),ROW()-1,FALSE))</f>
        <v/>
      </c>
      <c r="AE100" t="str">
        <f ca="1">IF(AND(ISNUMBER($AE$298),$B$185=1),$AE$298,HLOOKUP(INDIRECT(ADDRESS(2,COLUMN())),OFFSET($BN$2,0,0,ROW()-1,60),ROW()-1,FALSE))</f>
        <v/>
      </c>
      <c r="AF100" t="str">
        <f ca="1">IF(AND(ISNUMBER($AF$298),$B$185=1),$AF$298,HLOOKUP(INDIRECT(ADDRESS(2,COLUMN())),OFFSET($BN$2,0,0,ROW()-1,60),ROW()-1,FALSE))</f>
        <v/>
      </c>
      <c r="AG100" t="str">
        <f ca="1">IF(AND(ISNUMBER($AG$298),$B$185=1),$AG$298,HLOOKUP(INDIRECT(ADDRESS(2,COLUMN())),OFFSET($BN$2,0,0,ROW()-1,60),ROW()-1,FALSE))</f>
        <v/>
      </c>
      <c r="AH100" t="str">
        <f ca="1">IF(AND(ISNUMBER($AH$298),$B$185=1),$AH$298,HLOOKUP(INDIRECT(ADDRESS(2,COLUMN())),OFFSET($BN$2,0,0,ROW()-1,60),ROW()-1,FALSE))</f>
        <v/>
      </c>
      <c r="AI100" t="str">
        <f ca="1">IF(AND(ISNUMBER($AI$298),$B$185=1),$AI$298,HLOOKUP(INDIRECT(ADDRESS(2,COLUMN())),OFFSET($BN$2,0,0,ROW()-1,60),ROW()-1,FALSE))</f>
        <v/>
      </c>
      <c r="AJ100" t="str">
        <f ca="1">IF(AND(ISNUMBER($AJ$298),$B$185=1),$AJ$298,HLOOKUP(INDIRECT(ADDRESS(2,COLUMN())),OFFSET($BN$2,0,0,ROW()-1,60),ROW()-1,FALSE))</f>
        <v/>
      </c>
      <c r="AK100" t="str">
        <f ca="1">IF(AND(ISNUMBER($AK$298),$B$185=1),$AK$298,HLOOKUP(INDIRECT(ADDRESS(2,COLUMN())),OFFSET($BN$2,0,0,ROW()-1,60),ROW()-1,FALSE))</f>
        <v/>
      </c>
      <c r="AL100" t="str">
        <f ca="1">IF(AND(ISNUMBER($AL$298),$B$185=1),$AL$298,HLOOKUP(INDIRECT(ADDRESS(2,COLUMN())),OFFSET($BN$2,0,0,ROW()-1,60),ROW()-1,FALSE))</f>
        <v/>
      </c>
      <c r="AM100" t="str">
        <f ca="1">IF(AND(ISNUMBER($AM$298),$B$185=1),$AM$298,HLOOKUP(INDIRECT(ADDRESS(2,COLUMN())),OFFSET($BN$2,0,0,ROW()-1,60),ROW()-1,FALSE))</f>
        <v/>
      </c>
      <c r="AN100" t="str">
        <f ca="1">IF(AND(ISNUMBER($AN$298),$B$185=1),$AN$298,HLOOKUP(INDIRECT(ADDRESS(2,COLUMN())),OFFSET($BN$2,0,0,ROW()-1,60),ROW()-1,FALSE))</f>
        <v/>
      </c>
      <c r="AO100" t="str">
        <f ca="1">IF(AND(ISNUMBER($AO$298),$B$185=1),$AO$298,HLOOKUP(INDIRECT(ADDRESS(2,COLUMN())),OFFSET($BN$2,0,0,ROW()-1,60),ROW()-1,FALSE))</f>
        <v/>
      </c>
      <c r="AP100" t="str">
        <f ca="1">IF(AND(ISNUMBER($AP$298),$B$185=1),$AP$298,HLOOKUP(INDIRECT(ADDRESS(2,COLUMN())),OFFSET($BN$2,0,0,ROW()-1,60),ROW()-1,FALSE))</f>
        <v/>
      </c>
      <c r="AQ100" t="str">
        <f ca="1">IF(AND(ISNUMBER($AQ$298),$B$185=1),$AQ$298,HLOOKUP(INDIRECT(ADDRESS(2,COLUMN())),OFFSET($BN$2,0,0,ROW()-1,60),ROW()-1,FALSE))</f>
        <v/>
      </c>
      <c r="AR100" t="str">
        <f ca="1">IF(AND(ISNUMBER($AR$298),$B$185=1),$AR$298,HLOOKUP(INDIRECT(ADDRESS(2,COLUMN())),OFFSET($BN$2,0,0,ROW()-1,60),ROW()-1,FALSE))</f>
        <v/>
      </c>
      <c r="AS100" t="str">
        <f ca="1">IF(AND(ISNUMBER($AS$298),$B$185=1),$AS$298,HLOOKUP(INDIRECT(ADDRESS(2,COLUMN())),OFFSET($BN$2,0,0,ROW()-1,60),ROW()-1,FALSE))</f>
        <v/>
      </c>
      <c r="AT100" t="str">
        <f ca="1">IF(AND(ISNUMBER($AT$298),$B$185=1),$AT$298,HLOOKUP(INDIRECT(ADDRESS(2,COLUMN())),OFFSET($BN$2,0,0,ROW()-1,60),ROW()-1,FALSE))</f>
        <v/>
      </c>
      <c r="AU100" t="str">
        <f ca="1">IF(AND(ISNUMBER($AU$298),$B$185=1),$AU$298,HLOOKUP(INDIRECT(ADDRESS(2,COLUMN())),OFFSET($BN$2,0,0,ROW()-1,60),ROW()-1,FALSE))</f>
        <v/>
      </c>
      <c r="AV100" t="str">
        <f ca="1">IF(AND(ISNUMBER($AV$298),$B$185=1),$AV$298,HLOOKUP(INDIRECT(ADDRESS(2,COLUMN())),OFFSET($BN$2,0,0,ROW()-1,60),ROW()-1,FALSE))</f>
        <v/>
      </c>
      <c r="AW100" t="str">
        <f ca="1">IF(AND(ISNUMBER($AW$298),$B$185=1),$AW$298,HLOOKUP(INDIRECT(ADDRESS(2,COLUMN())),OFFSET($BN$2,0,0,ROW()-1,60),ROW()-1,FALSE))</f>
        <v/>
      </c>
      <c r="AX100" t="str">
        <f ca="1">IF(AND(ISNUMBER($AX$298),$B$185=1),$AX$298,HLOOKUP(INDIRECT(ADDRESS(2,COLUMN())),OFFSET($BN$2,0,0,ROW()-1,60),ROW()-1,FALSE))</f>
        <v/>
      </c>
      <c r="AY100" t="str">
        <f ca="1">IF(AND(ISNUMBER($AY$298),$B$185=1),$AY$298,HLOOKUP(INDIRECT(ADDRESS(2,COLUMN())),OFFSET($BN$2,0,0,ROW()-1,60),ROW()-1,FALSE))</f>
        <v/>
      </c>
      <c r="AZ100" t="str">
        <f ca="1">IF(AND(ISNUMBER($AZ$298),$B$185=1),$AZ$298,HLOOKUP(INDIRECT(ADDRESS(2,COLUMN())),OFFSET($BN$2,0,0,ROW()-1,60),ROW()-1,FALSE))</f>
        <v/>
      </c>
      <c r="BA100" t="str">
        <f ca="1">IF(AND(ISNUMBER($BA$298),$B$185=1),$BA$298,HLOOKUP(INDIRECT(ADDRESS(2,COLUMN())),OFFSET($BN$2,0,0,ROW()-1,60),ROW()-1,FALSE))</f>
        <v/>
      </c>
      <c r="BB100" t="str">
        <f ca="1">IF(AND(ISNUMBER($BB$298),$B$185=1),$BB$298,HLOOKUP(INDIRECT(ADDRESS(2,COLUMN())),OFFSET($BN$2,0,0,ROW()-1,60),ROW()-1,FALSE))</f>
        <v/>
      </c>
      <c r="BC100" t="str">
        <f ca="1">IF(AND(ISNUMBER($BC$298),$B$185=1),$BC$298,HLOOKUP(INDIRECT(ADDRESS(2,COLUMN())),OFFSET($BN$2,0,0,ROW()-1,60),ROW()-1,FALSE))</f>
        <v/>
      </c>
      <c r="BD100" t="str">
        <f ca="1">IF(AND(ISNUMBER($BD$298),$B$185=1),$BD$298,HLOOKUP(INDIRECT(ADDRESS(2,COLUMN())),OFFSET($BN$2,0,0,ROW()-1,60),ROW()-1,FALSE))</f>
        <v/>
      </c>
      <c r="BE100" t="str">
        <f ca="1">IF(AND(ISNUMBER($BE$298),$B$185=1),$BE$298,HLOOKUP(INDIRECT(ADDRESS(2,COLUMN())),OFFSET($BN$2,0,0,ROW()-1,60),ROW()-1,FALSE))</f>
        <v/>
      </c>
      <c r="BF100" t="str">
        <f ca="1">IF(AND(ISNUMBER($BF$298),$B$185=1),$BF$298,HLOOKUP(INDIRECT(ADDRESS(2,COLUMN())),OFFSET($BN$2,0,0,ROW()-1,60),ROW()-1,FALSE))</f>
        <v/>
      </c>
      <c r="BG100" t="str">
        <f ca="1">IF(AND(ISNUMBER($BG$298),$B$185=1),$BG$298,HLOOKUP(INDIRECT(ADDRESS(2,COLUMN())),OFFSET($BN$2,0,0,ROW()-1,60),ROW()-1,FALSE))</f>
        <v/>
      </c>
      <c r="BH100" t="str">
        <f ca="1">IF(AND(ISNUMBER($BH$298),$B$185=1),$BH$298,HLOOKUP(INDIRECT(ADDRESS(2,COLUMN())),OFFSET($BN$2,0,0,ROW()-1,60),ROW()-1,FALSE))</f>
        <v/>
      </c>
      <c r="BI100" t="str">
        <f ca="1">IF(AND(ISNUMBER($BI$298),$B$185=1),$BI$298,HLOOKUP(INDIRECT(ADDRESS(2,COLUMN())),OFFSET($BN$2,0,0,ROW()-1,60),ROW()-1,FALSE))</f>
        <v/>
      </c>
      <c r="BJ100" t="str">
        <f ca="1">IF(AND(ISNUMBER($BJ$298),$B$185=1),$BJ$298,HLOOKUP(INDIRECT(ADDRESS(2,COLUMN())),OFFSET($BN$2,0,0,ROW()-1,60),ROW()-1,FALSE))</f>
        <v/>
      </c>
      <c r="BK100" t="str">
        <f ca="1">IF(AND(ISNUMBER($BK$298),$B$185=1),$BK$298,HLOOKUP(INDIRECT(ADDRESS(2,COLUMN())),OFFSET($BN$2,0,0,ROW()-1,60),ROW()-1,FALSE))</f>
        <v/>
      </c>
      <c r="BL100" t="str">
        <f ca="1">IF(AND(ISNUMBER($BL$298),$B$185=1),$BL$298,HLOOKUP(INDIRECT(ADDRESS(2,COLUMN())),OFFSET($BN$2,0,0,ROW()-1,60),ROW()-1,FALSE))</f>
        <v/>
      </c>
      <c r="BM100" t="str">
        <f ca="1">IF(AND(ISNUMBER($BM$298),$B$185=1),$BM$298,HLOOKUP(INDIRECT(ADDRESS(2,COLUMN())),OFFSET($BN$2,0,0,ROW()-1,60),ROW()-1,FALSE))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  <c r="BT100" t="str">
        <f>""</f>
        <v/>
      </c>
      <c r="BU100" t="str">
        <f>""</f>
        <v/>
      </c>
      <c r="BV100" t="str">
        <f>""</f>
        <v/>
      </c>
      <c r="BW100" t="str">
        <f>""</f>
        <v/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  <c r="CH100" t="str">
        <f>""</f>
        <v/>
      </c>
      <c r="CI100" t="str">
        <f>""</f>
        <v/>
      </c>
      <c r="CJ100" t="str">
        <f>""</f>
        <v/>
      </c>
      <c r="CK100" t="str">
        <f>""</f>
        <v/>
      </c>
      <c r="CL100" t="str">
        <f>""</f>
        <v/>
      </c>
      <c r="CM100" t="str">
        <f>""</f>
        <v/>
      </c>
      <c r="CN100" t="str">
        <f>""</f>
        <v/>
      </c>
      <c r="CO100" t="str">
        <f>""</f>
        <v/>
      </c>
      <c r="CP100" t="str">
        <f>""</f>
        <v/>
      </c>
      <c r="CQ100" t="str">
        <f>""</f>
        <v/>
      </c>
      <c r="CR100" t="str">
        <f>""</f>
        <v/>
      </c>
      <c r="CS100" t="str">
        <f>""</f>
        <v/>
      </c>
      <c r="CT100" t="str">
        <f>""</f>
        <v/>
      </c>
      <c r="CU100" t="str">
        <f>""</f>
        <v/>
      </c>
      <c r="CV100" t="str">
        <f>""</f>
        <v/>
      </c>
      <c r="CW100" t="str">
        <f>""</f>
        <v/>
      </c>
      <c r="CX100" t="str">
        <f>""</f>
        <v/>
      </c>
      <c r="CY100" t="str">
        <f>""</f>
        <v/>
      </c>
      <c r="CZ100" t="str">
        <f>""</f>
        <v/>
      </c>
      <c r="DA100" t="str">
        <f>""</f>
        <v/>
      </c>
      <c r="DB100" t="str">
        <f>""</f>
        <v/>
      </c>
      <c r="DC100" t="str">
        <f>""</f>
        <v/>
      </c>
      <c r="DD100" t="str">
        <f>""</f>
        <v/>
      </c>
      <c r="DE100" t="str">
        <f>""</f>
        <v/>
      </c>
      <c r="DF100" t="str">
        <f>""</f>
        <v/>
      </c>
      <c r="DG100" t="str">
        <f>""</f>
        <v/>
      </c>
      <c r="DH100" t="str">
        <f>""</f>
        <v/>
      </c>
      <c r="DI100" t="str">
        <f>""</f>
        <v/>
      </c>
      <c r="DJ100" t="str">
        <f>""</f>
        <v/>
      </c>
      <c r="DK100" t="str">
        <f>""</f>
        <v/>
      </c>
      <c r="DL100" t="str">
        <f>""</f>
        <v/>
      </c>
      <c r="DM100" t="str">
        <f>""</f>
        <v/>
      </c>
      <c r="DN100" t="str">
        <f>""</f>
        <v/>
      </c>
      <c r="DO100" t="str">
        <f>""</f>
        <v/>
      </c>
      <c r="DP100" t="str">
        <f>""</f>
        <v/>
      </c>
      <c r="DQ100" t="str">
        <f>""</f>
        <v/>
      </c>
      <c r="DR100" t="str">
        <f>""</f>
        <v/>
      </c>
      <c r="DS100" t="str">
        <f>""</f>
        <v/>
      </c>
      <c r="DT100" t="str">
        <f>""</f>
        <v/>
      </c>
      <c r="DU100" t="str">
        <f>""</f>
        <v/>
      </c>
    </row>
    <row r="101" spans="1:125">
      <c r="A101" t="str">
        <f>"    Wells Fargo &amp; Co"</f>
        <v xml:space="preserve">    Wells Fargo &amp; Co</v>
      </c>
      <c r="B101" t="str">
        <f>"WFC US Equity"</f>
        <v>WFC US Equity</v>
      </c>
      <c r="C101" t="str">
        <f t="shared" si="10"/>
        <v>BS961</v>
      </c>
      <c r="D101" t="str">
        <f t="shared" si="11"/>
        <v>BS_RES_MTG_OWNED_SERVICED_PORT</v>
      </c>
      <c r="E101" t="str">
        <f t="shared" si="12"/>
        <v>Dynamic</v>
      </c>
      <c r="F101">
        <f ca="1">IF(AND(ISNUMBER($F$299),$B$185=1),$F$299,HLOOKUP(INDIRECT(ADDRESS(2,COLUMN())),OFFSET($BN$2,0,0,ROW()-1,60),ROW()-1,FALSE))</f>
        <v>252000</v>
      </c>
      <c r="G101">
        <f ca="1">IF(AND(ISNUMBER($G$299),$B$185=1),$G$299,HLOOKUP(INDIRECT(ADDRESS(2,COLUMN())),OFFSET($BN$2,0,0,ROW()-1,60),ROW()-1,FALSE))</f>
        <v>254000</v>
      </c>
      <c r="H101">
        <f ca="1">IF(AND(ISNUMBER($H$299),$B$185=1),$H$299,HLOOKUP(INDIRECT(ADDRESS(2,COLUMN())),OFFSET($BN$2,0,0,ROW()-1,60),ROW()-1,FALSE))</f>
        <v>256000</v>
      </c>
      <c r="I101">
        <f ca="1">IF(AND(ISNUMBER($I$299),$B$185=1),$I$299,HLOOKUP(INDIRECT(ADDRESS(2,COLUMN())),OFFSET($BN$2,0,0,ROW()-1,60),ROW()-1,FALSE))</f>
        <v>259000</v>
      </c>
      <c r="J101">
        <f ca="1">IF(AND(ISNUMBER($J$299),$B$185=1),$J$299,HLOOKUP(INDIRECT(ADDRESS(2,COLUMN())),OFFSET($BN$2,0,0,ROW()-1,60),ROW()-1,FALSE))</f>
        <v>262000</v>
      </c>
      <c r="K101">
        <f ca="1">IF(AND(ISNUMBER($K$299),$B$185=1),$K$299,HLOOKUP(INDIRECT(ADDRESS(2,COLUMN())),OFFSET($BN$2,0,0,ROW()-1,60),ROW()-1,FALSE))</f>
        <v>265000</v>
      </c>
      <c r="L101">
        <f ca="1">IF(AND(ISNUMBER($L$299),$B$185=1),$L$299,HLOOKUP(INDIRECT(ADDRESS(2,COLUMN())),OFFSET($BN$2,0,0,ROW()-1,60),ROW()-1,FALSE))</f>
        <v>267000</v>
      </c>
      <c r="M101">
        <f ca="1">IF(AND(ISNUMBER($M$299),$B$185=1),$M$299,HLOOKUP(INDIRECT(ADDRESS(2,COLUMN())),OFFSET($BN$2,0,0,ROW()-1,60),ROW()-1,FALSE))</f>
        <v>270000</v>
      </c>
      <c r="N101">
        <f ca="1">IF(AND(ISNUMBER($N$299),$B$185=1),$N$299,HLOOKUP(INDIRECT(ADDRESS(2,COLUMN())),OFFSET($BN$2,0,0,ROW()-1,60),ROW()-1,FALSE))</f>
        <v>273000</v>
      </c>
      <c r="O101">
        <f ca="1">IF(AND(ISNUMBER($O$299),$B$185=1),$O$299,HLOOKUP(INDIRECT(ADDRESS(2,COLUMN())),OFFSET($BN$2,0,0,ROW()-1,60),ROW()-1,FALSE))</f>
        <v>274000</v>
      </c>
      <c r="P101">
        <f ca="1">IF(AND(ISNUMBER($P$299),$B$185=1),$P$299,HLOOKUP(INDIRECT(ADDRESS(2,COLUMN())),OFFSET($BN$2,0,0,ROW()-1,60),ROW()-1,FALSE))</f>
        <v>274000</v>
      </c>
      <c r="Q101">
        <f ca="1">IF(AND(ISNUMBER($Q$299),$B$185=1),$Q$299,HLOOKUP(INDIRECT(ADDRESS(2,COLUMN())),OFFSET($BN$2,0,0,ROW()-1,60),ROW()-1,FALSE))</f>
        <v>273000</v>
      </c>
      <c r="R101">
        <f ca="1">IF(AND(ISNUMBER($R$299),$B$185=1),$R$299,HLOOKUP(INDIRECT(ADDRESS(2,COLUMN())),OFFSET($BN$2,0,0,ROW()-1,60),ROW()-1,FALSE))</f>
        <v>276000</v>
      </c>
      <c r="S101">
        <f ca="1">IF(AND(ISNUMBER($S$299),$B$185=1),$S$299,HLOOKUP(INDIRECT(ADDRESS(2,COLUMN())),OFFSET($BN$2,0,0,ROW()-1,60),ROW()-1,FALSE))</f>
        <v>280000</v>
      </c>
      <c r="T101">
        <f ca="1">IF(AND(ISNUMBER($T$299),$B$185=1),$T$299,HLOOKUP(INDIRECT(ADDRESS(2,COLUMN())),OFFSET($BN$2,0,0,ROW()-1,60),ROW()-1,FALSE))</f>
        <v>284000</v>
      </c>
      <c r="U101">
        <f ca="1">IF(AND(ISNUMBER($U$299),$B$185=1),$U$299,HLOOKUP(INDIRECT(ADDRESS(2,COLUMN())),OFFSET($BN$2,0,0,ROW()-1,60),ROW()-1,FALSE))</f>
        <v>302000</v>
      </c>
      <c r="V101">
        <f ca="1">IF(AND(ISNUMBER($V$299),$B$185=1),$V$299,HLOOKUP(INDIRECT(ADDRESS(2,COLUMN())),OFFSET($BN$2,0,0,ROW()-1,60),ROW()-1,FALSE))</f>
        <v>323000</v>
      </c>
      <c r="W101">
        <f ca="1">IF(AND(ISNUMBER($W$299),$B$185=1),$W$299,HLOOKUP(INDIRECT(ADDRESS(2,COLUMN())),OFFSET($BN$2,0,0,ROW()-1,60),ROW()-1,FALSE))</f>
        <v>342000</v>
      </c>
      <c r="X101">
        <f ca="1">IF(AND(ISNUMBER($X$299),$B$185=1),$X$299,HLOOKUP(INDIRECT(ADDRESS(2,COLUMN())),OFFSET($BN$2,0,0,ROW()-1,60),ROW()-1,FALSE))</f>
        <v>335000</v>
      </c>
      <c r="Y101">
        <f ca="1">IF(AND(ISNUMBER($Y$299),$B$185=1),$Y$299,HLOOKUP(INDIRECT(ADDRESS(2,COLUMN())),OFFSET($BN$2,0,0,ROW()-1,60),ROW()-1,FALSE))</f>
        <v>341000</v>
      </c>
      <c r="Z101">
        <f ca="1">IF(AND(ISNUMBER($Z$299),$B$185=1),$Z$299,HLOOKUP(INDIRECT(ADDRESS(2,COLUMN())),OFFSET($BN$2,0,0,ROW()-1,60),ROW()-1,FALSE))</f>
        <v>343000</v>
      </c>
      <c r="AA101">
        <f ca="1">IF(AND(ISNUMBER($AA$299),$B$185=1),$AA$299,HLOOKUP(INDIRECT(ADDRESS(2,COLUMN())),OFFSET($BN$2,0,0,ROW()-1,60),ROW()-1,FALSE))</f>
        <v>346000</v>
      </c>
      <c r="AB101">
        <f ca="1">IF(AND(ISNUMBER($AB$299),$B$185=1),$AB$299,HLOOKUP(INDIRECT(ADDRESS(2,COLUMN())),OFFSET($BN$2,0,0,ROW()-1,60),ROW()-1,FALSE))</f>
        <v>340000</v>
      </c>
      <c r="AC101">
        <f ca="1">IF(AND(ISNUMBER($AC$299),$B$185=1),$AC$299,HLOOKUP(INDIRECT(ADDRESS(2,COLUMN())),OFFSET($BN$2,0,0,ROW()-1,60),ROW()-1,FALSE))</f>
        <v>331000</v>
      </c>
      <c r="AD101">
        <f ca="1">IF(AND(ISNUMBER($AD$299),$B$185=1),$AD$299,HLOOKUP(INDIRECT(ADDRESS(2,COLUMN())),OFFSET($BN$2,0,0,ROW()-1,60),ROW()-1,FALSE))</f>
        <v>334</v>
      </c>
      <c r="AE101">
        <f ca="1">IF(AND(ISNUMBER($AE$299),$B$185=1),$AE$299,HLOOKUP(INDIRECT(ADDRESS(2,COLUMN())),OFFSET($BN$2,0,0,ROW()-1,60),ROW()-1,FALSE))</f>
        <v>337000</v>
      </c>
      <c r="AF101">
        <f ca="1">IF(AND(ISNUMBER($AF$299),$B$185=1),$AF$299,HLOOKUP(INDIRECT(ADDRESS(2,COLUMN())),OFFSET($BN$2,0,0,ROW()-1,60),ROW()-1,FALSE))</f>
        <v>340000</v>
      </c>
      <c r="AG101">
        <f ca="1">IF(AND(ISNUMBER($AG$299),$B$185=1),$AG$299,HLOOKUP(INDIRECT(ADDRESS(2,COLUMN())),OFFSET($BN$2,0,0,ROW()-1,60),ROW()-1,FALSE))</f>
        <v>337000</v>
      </c>
      <c r="AH101">
        <f ca="1">IF(AND(ISNUMBER($AH$299),$B$185=1),$AH$299,HLOOKUP(INDIRECT(ADDRESS(2,COLUMN())),OFFSET($BN$2,0,0,ROW()-1,60),ROW()-1,FALSE))</f>
        <v>342000</v>
      </c>
      <c r="AI101">
        <f ca="1">IF(AND(ISNUMBER($AI$299),$B$185=1),$AI$299,HLOOKUP(INDIRECT(ADDRESS(2,COLUMN())),OFFSET($BN$2,0,0,ROW()-1,60),ROW()-1,FALSE))</f>
        <v>340000</v>
      </c>
      <c r="AJ101">
        <f ca="1">IF(AND(ISNUMBER($AJ$299),$B$185=1),$AJ$299,HLOOKUP(INDIRECT(ADDRESS(2,COLUMN())),OFFSET($BN$2,0,0,ROW()-1,60),ROW()-1,FALSE))</f>
        <v>343000</v>
      </c>
      <c r="AK101">
        <f ca="1">IF(AND(ISNUMBER($AK$299),$B$185=1),$AK$299,HLOOKUP(INDIRECT(ADDRESS(2,COLUMN())),OFFSET($BN$2,0,0,ROW()-1,60),ROW()-1,FALSE))</f>
        <v>335000</v>
      </c>
      <c r="AL101">
        <f ca="1">IF(AND(ISNUMBER($AL$299),$B$185=1),$AL$299,HLOOKUP(INDIRECT(ADDRESS(2,COLUMN())),OFFSET($BN$2,0,0,ROW()-1,60),ROW()-1,FALSE))</f>
        <v>347000</v>
      </c>
      <c r="AM101">
        <f ca="1">IF(AND(ISNUMBER($AM$299),$B$185=1),$AM$299,HLOOKUP(INDIRECT(ADDRESS(2,COLUMN())),OFFSET($BN$2,0,0,ROW()-1,60),ROW()-1,FALSE))</f>
        <v>352000</v>
      </c>
      <c r="AN101">
        <f ca="1">IF(AND(ISNUMBER($AN$299),$B$185=1),$AN$299,HLOOKUP(INDIRECT(ADDRESS(2,COLUMN())),OFFSET($BN$2,0,0,ROW()-1,60),ROW()-1,FALSE))</f>
        <v>349000</v>
      </c>
      <c r="AO101">
        <f ca="1">IF(AND(ISNUMBER($AO$299),$B$185=1),$AO$299,HLOOKUP(INDIRECT(ADDRESS(2,COLUMN())),OFFSET($BN$2,0,0,ROW()-1,60),ROW()-1,FALSE))</f>
        <v>342000</v>
      </c>
      <c r="AP101">
        <f ca="1">IF(AND(ISNUMBER($AP$299),$B$185=1),$AP$299,HLOOKUP(INDIRECT(ADDRESS(2,COLUMN())),OFFSET($BN$2,0,0,ROW()-1,60),ROW()-1,FALSE))</f>
        <v>345000</v>
      </c>
      <c r="AQ101">
        <f ca="1">IF(AND(ISNUMBER($AQ$299),$B$185=1),$AQ$299,HLOOKUP(INDIRECT(ADDRESS(2,COLUMN())),OFFSET($BN$2,0,0,ROW()-1,60),ROW()-1,FALSE))</f>
        <v>346000</v>
      </c>
      <c r="AR101">
        <f ca="1">IF(AND(ISNUMBER($AR$299),$B$185=1),$AR$299,HLOOKUP(INDIRECT(ADDRESS(2,COLUMN())),OFFSET($BN$2,0,0,ROW()-1,60),ROW()-1,FALSE))</f>
        <v>347000</v>
      </c>
      <c r="AS101">
        <f ca="1">IF(AND(ISNUMBER($AS$299),$B$185=1),$AS$299,HLOOKUP(INDIRECT(ADDRESS(2,COLUMN())),OFFSET($BN$2,0,0,ROW()-1,60),ROW()-1,FALSE))</f>
        <v>344000</v>
      </c>
      <c r="AT101">
        <f ca="1">IF(AND(ISNUMBER($AT$299),$B$185=1),$AT$299,HLOOKUP(INDIRECT(ADDRESS(2,COLUMN())),OFFSET($BN$2,0,0,ROW()-1,60),ROW()-1,FALSE))</f>
        <v>342000</v>
      </c>
      <c r="AU101">
        <f ca="1">IF(AND(ISNUMBER($AU$299),$B$185=1),$AU$299,HLOOKUP(INDIRECT(ADDRESS(2,COLUMN())),OFFSET($BN$2,0,0,ROW()-1,60),ROW()-1,FALSE))</f>
        <v>342000</v>
      </c>
      <c r="AV101">
        <f ca="1">IF(AND(ISNUMBER($AV$299),$B$185=1),$AV$299,HLOOKUP(INDIRECT(ADDRESS(2,COLUMN())),OFFSET($BN$2,0,0,ROW()-1,60),ROW()-1,FALSE))</f>
        <v>341000</v>
      </c>
      <c r="AW101">
        <f ca="1">IF(AND(ISNUMBER($AW$299),$B$185=1),$AW$299,HLOOKUP(INDIRECT(ADDRESS(2,COLUMN())),OFFSET($BN$2,0,0,ROW()-1,60),ROW()-1,FALSE))</f>
        <v>337000</v>
      </c>
      <c r="AX101">
        <f ca="1">IF(AND(ISNUMBER($AX$299),$B$185=1),$AX$299,HLOOKUP(INDIRECT(ADDRESS(2,COLUMN())),OFFSET($BN$2,0,0,ROW()-1,60),ROW()-1,FALSE))</f>
        <v>338000</v>
      </c>
      <c r="AY101">
        <f ca="1">IF(AND(ISNUMBER($AY$299),$B$185=1),$AY$299,HLOOKUP(INDIRECT(ADDRESS(2,COLUMN())),OFFSET($BN$2,0,0,ROW()-1,60),ROW()-1,FALSE))</f>
        <v>344000</v>
      </c>
      <c r="AZ101">
        <f ca="1">IF(AND(ISNUMBER($AZ$299),$B$185=1),$AZ$299,HLOOKUP(INDIRECT(ADDRESS(2,COLUMN())),OFFSET($BN$2,0,0,ROW()-1,60),ROW()-1,FALSE))</f>
        <v>358000</v>
      </c>
      <c r="BA101">
        <f ca="1">IF(AND(ISNUMBER($BA$299),$B$185=1),$BA$299,HLOOKUP(INDIRECT(ADDRESS(2,COLUMN())),OFFSET($BN$2,0,0,ROW()-1,60),ROW()-1,FALSE))</f>
        <v>367000</v>
      </c>
      <c r="BB101">
        <f ca="1">IF(AND(ISNUMBER($BB$299),$B$185=1),$BB$299,HLOOKUP(INDIRECT(ADDRESS(2,COLUMN())),OFFSET($BN$2,0,0,ROW()-1,60),ROW()-1,FALSE))</f>
        <v>368000</v>
      </c>
      <c r="BC101">
        <f ca="1">IF(AND(ISNUMBER($BC$299),$B$185=1),$BC$299,HLOOKUP(INDIRECT(ADDRESS(2,COLUMN())),OFFSET($BN$2,0,0,ROW()-1,60),ROW()-1,FALSE))</f>
        <v>364000</v>
      </c>
      <c r="BD101">
        <f ca="1">IF(AND(ISNUMBER($BD$299),$B$185=1),$BD$299,HLOOKUP(INDIRECT(ADDRESS(2,COLUMN())),OFFSET($BN$2,0,0,ROW()-1,60),ROW()-1,FALSE))</f>
        <v>357000</v>
      </c>
      <c r="BE101">
        <f ca="1">IF(AND(ISNUMBER($BE$299),$B$185=1),$BE$299,HLOOKUP(INDIRECT(ADDRESS(2,COLUMN())),OFFSET($BN$2,0,0,ROW()-1,60),ROW()-1,FALSE))</f>
        <v>350000</v>
      </c>
      <c r="BF101">
        <f ca="1">IF(AND(ISNUMBER($BF$299),$B$185=1),$BF$299,HLOOKUP(INDIRECT(ADDRESS(2,COLUMN())),OFFSET($BN$2,0,0,ROW()-1,60),ROW()-1,FALSE))</f>
        <v>358000</v>
      </c>
      <c r="BG101">
        <f ca="1">IF(AND(ISNUMBER($BG$299),$B$185=1),$BG$299,HLOOKUP(INDIRECT(ADDRESS(2,COLUMN())),OFFSET($BN$2,0,0,ROW()-1,60),ROW()-1,FALSE))</f>
        <v>349000</v>
      </c>
      <c r="BH101">
        <f ca="1">IF(AND(ISNUMBER($BH$299),$B$185=1),$BH$299,HLOOKUP(INDIRECT(ADDRESS(2,COLUMN())),OFFSET($BN$2,0,0,ROW()-1,60),ROW()-1,FALSE))</f>
        <v>338000</v>
      </c>
      <c r="BI101">
        <f ca="1">IF(AND(ISNUMBER($BI$299),$B$185=1),$BI$299,HLOOKUP(INDIRECT(ADDRESS(2,COLUMN())),OFFSET($BN$2,0,0,ROW()-1,60),ROW()-1,FALSE))</f>
        <v>346000</v>
      </c>
      <c r="BJ101">
        <f ca="1">IF(AND(ISNUMBER($BJ$299),$B$185=1),$BJ$299,HLOOKUP(INDIRECT(ADDRESS(2,COLUMN())),OFFSET($BN$2,0,0,ROW()-1,60),ROW()-1,FALSE))</f>
        <v>371000</v>
      </c>
      <c r="BK101">
        <f ca="1">IF(AND(ISNUMBER($BK$299),$B$185=1),$BK$299,HLOOKUP(INDIRECT(ADDRESS(2,COLUMN())),OFFSET($BN$2,0,0,ROW()-1,60),ROW()-1,FALSE))</f>
        <v>365000</v>
      </c>
      <c r="BL101">
        <f ca="1">IF(AND(ISNUMBER($BL$299),$B$185=1),$BL$299,HLOOKUP(INDIRECT(ADDRESS(2,COLUMN())),OFFSET($BN$2,0,0,ROW()-1,60),ROW()-1,FALSE))</f>
        <v>365000</v>
      </c>
      <c r="BM101" t="str">
        <f ca="1">IF(AND(ISNUMBER($BM$299),$B$185=1),$BM$299,HLOOKUP(INDIRECT(ADDRESS(2,COLUMN())),OFFSET($BN$2,0,0,ROW()-1,60),ROW()-1,FALSE))</f>
        <v/>
      </c>
      <c r="BN101">
        <f>252000</f>
        <v>252000</v>
      </c>
      <c r="BO101">
        <f>254000</f>
        <v>254000</v>
      </c>
      <c r="BP101">
        <f>256000</f>
        <v>256000</v>
      </c>
      <c r="BQ101">
        <f>259000</f>
        <v>259000</v>
      </c>
      <c r="BR101">
        <f>262000</f>
        <v>262000</v>
      </c>
      <c r="BS101">
        <f>265000</f>
        <v>265000</v>
      </c>
      <c r="BT101">
        <f>267000</f>
        <v>267000</v>
      </c>
      <c r="BU101">
        <f>270000</f>
        <v>270000</v>
      </c>
      <c r="BV101">
        <f>273000</f>
        <v>273000</v>
      </c>
      <c r="BW101">
        <f>274000</f>
        <v>274000</v>
      </c>
      <c r="BX101">
        <f>274000</f>
        <v>274000</v>
      </c>
      <c r="BY101">
        <f>273000</f>
        <v>273000</v>
      </c>
      <c r="BZ101">
        <f>276000</f>
        <v>276000</v>
      </c>
      <c r="CA101">
        <f>280000</f>
        <v>280000</v>
      </c>
      <c r="CB101">
        <f>284000</f>
        <v>284000</v>
      </c>
      <c r="CC101">
        <f>302000</f>
        <v>302000</v>
      </c>
      <c r="CD101">
        <f>323000</f>
        <v>323000</v>
      </c>
      <c r="CE101">
        <f>342000</f>
        <v>342000</v>
      </c>
      <c r="CF101">
        <f>335000</f>
        <v>335000</v>
      </c>
      <c r="CG101">
        <f>341000</f>
        <v>341000</v>
      </c>
      <c r="CH101">
        <f>343000</f>
        <v>343000</v>
      </c>
      <c r="CI101">
        <f>346000</f>
        <v>346000</v>
      </c>
      <c r="CJ101">
        <f>340000</f>
        <v>340000</v>
      </c>
      <c r="CK101">
        <f>331000</f>
        <v>331000</v>
      </c>
      <c r="CL101">
        <f>334</f>
        <v>334</v>
      </c>
      <c r="CM101">
        <f>337000</f>
        <v>337000</v>
      </c>
      <c r="CN101">
        <f>340000</f>
        <v>340000</v>
      </c>
      <c r="CO101">
        <f>337000</f>
        <v>337000</v>
      </c>
      <c r="CP101">
        <f>342000</f>
        <v>342000</v>
      </c>
      <c r="CQ101">
        <f>340000</f>
        <v>340000</v>
      </c>
      <c r="CR101">
        <f>343000</f>
        <v>343000</v>
      </c>
      <c r="CS101">
        <f>335000</f>
        <v>335000</v>
      </c>
      <c r="CT101">
        <f>347000</f>
        <v>347000</v>
      </c>
      <c r="CU101">
        <f>352000</f>
        <v>352000</v>
      </c>
      <c r="CV101">
        <f>349000</f>
        <v>349000</v>
      </c>
      <c r="CW101">
        <f>342000</f>
        <v>342000</v>
      </c>
      <c r="CX101">
        <f>345000</f>
        <v>345000</v>
      </c>
      <c r="CY101">
        <f>346000</f>
        <v>346000</v>
      </c>
      <c r="CZ101">
        <f>347000</f>
        <v>347000</v>
      </c>
      <c r="DA101">
        <f>344000</f>
        <v>344000</v>
      </c>
      <c r="DB101">
        <f>342000</f>
        <v>342000</v>
      </c>
      <c r="DC101">
        <f>342000</f>
        <v>342000</v>
      </c>
      <c r="DD101">
        <f>341000</f>
        <v>341000</v>
      </c>
      <c r="DE101">
        <f>337000</f>
        <v>337000</v>
      </c>
      <c r="DF101">
        <f>338000</f>
        <v>338000</v>
      </c>
      <c r="DG101">
        <f>344000</f>
        <v>344000</v>
      </c>
      <c r="DH101">
        <f>358000</f>
        <v>358000</v>
      </c>
      <c r="DI101">
        <f>367000</f>
        <v>367000</v>
      </c>
      <c r="DJ101">
        <f>368000</f>
        <v>368000</v>
      </c>
      <c r="DK101">
        <f>364000</f>
        <v>364000</v>
      </c>
      <c r="DL101">
        <f>357000</f>
        <v>357000</v>
      </c>
      <c r="DM101">
        <f>350000</f>
        <v>350000</v>
      </c>
      <c r="DN101">
        <f>358000</f>
        <v>358000</v>
      </c>
      <c r="DO101">
        <f>349000</f>
        <v>349000</v>
      </c>
      <c r="DP101">
        <f>338000</f>
        <v>338000</v>
      </c>
      <c r="DQ101">
        <f>346000</f>
        <v>346000</v>
      </c>
      <c r="DR101">
        <f>371000</f>
        <v>371000</v>
      </c>
      <c r="DS101">
        <f>365000</f>
        <v>365000</v>
      </c>
      <c r="DT101">
        <f>365000</f>
        <v>365000</v>
      </c>
      <c r="DU101" t="str">
        <f>""</f>
        <v/>
      </c>
    </row>
    <row r="102" spans="1:125">
      <c r="A102" t="str">
        <f>"    Western Alliance Bancorp"</f>
        <v xml:space="preserve">    Western Alliance Bancorp</v>
      </c>
      <c r="B102" t="str">
        <f>"WAL US Equity"</f>
        <v>WAL US Equity</v>
      </c>
      <c r="C102" t="str">
        <f t="shared" si="10"/>
        <v>BS961</v>
      </c>
      <c r="D102" t="str">
        <f t="shared" si="11"/>
        <v>BS_RES_MTG_OWNED_SERVICED_PORT</v>
      </c>
      <c r="E102" t="str">
        <f t="shared" si="12"/>
        <v>Dynamic</v>
      </c>
      <c r="F102" t="str">
        <f ca="1">IF(AND(ISNUMBER($F$300),$B$185=1),$F$300,HLOOKUP(INDIRECT(ADDRESS(2,COLUMN())),OFFSET($BN$2,0,0,ROW()-1,60),ROW()-1,FALSE))</f>
        <v/>
      </c>
      <c r="G102" t="str">
        <f ca="1">IF(AND(ISNUMBER($G$300),$B$185=1),$G$300,HLOOKUP(INDIRECT(ADDRESS(2,COLUMN())),OFFSET($BN$2,0,0,ROW()-1,60),ROW()-1,FALSE))</f>
        <v/>
      </c>
      <c r="H102" t="str">
        <f ca="1">IF(AND(ISNUMBER($H$300),$B$185=1),$H$300,HLOOKUP(INDIRECT(ADDRESS(2,COLUMN())),OFFSET($BN$2,0,0,ROW()-1,60),ROW()-1,FALSE))</f>
        <v/>
      </c>
      <c r="I102" t="str">
        <f ca="1">IF(AND(ISNUMBER($I$300),$B$185=1),$I$300,HLOOKUP(INDIRECT(ADDRESS(2,COLUMN())),OFFSET($BN$2,0,0,ROW()-1,60),ROW()-1,FALSE))</f>
        <v/>
      </c>
      <c r="J102" t="str">
        <f ca="1">IF(AND(ISNUMBER($J$300),$B$185=1),$J$300,HLOOKUP(INDIRECT(ADDRESS(2,COLUMN())),OFFSET($BN$2,0,0,ROW()-1,60),ROW()-1,FALSE))</f>
        <v/>
      </c>
      <c r="K102" t="str">
        <f ca="1">IF(AND(ISNUMBER($K$300),$B$185=1),$K$300,HLOOKUP(INDIRECT(ADDRESS(2,COLUMN())),OFFSET($BN$2,0,0,ROW()-1,60),ROW()-1,FALSE))</f>
        <v/>
      </c>
      <c r="L102" t="str">
        <f ca="1">IF(AND(ISNUMBER($L$300),$B$185=1),$L$300,HLOOKUP(INDIRECT(ADDRESS(2,COLUMN())),OFFSET($BN$2,0,0,ROW()-1,60),ROW()-1,FALSE))</f>
        <v/>
      </c>
      <c r="M102" t="str">
        <f ca="1">IF(AND(ISNUMBER($M$300),$B$185=1),$M$300,HLOOKUP(INDIRECT(ADDRESS(2,COLUMN())),OFFSET($BN$2,0,0,ROW()-1,60),ROW()-1,FALSE))</f>
        <v/>
      </c>
      <c r="N102" t="str">
        <f ca="1">IF(AND(ISNUMBER($N$300),$B$185=1),$N$300,HLOOKUP(INDIRECT(ADDRESS(2,COLUMN())),OFFSET($BN$2,0,0,ROW()-1,60),ROW()-1,FALSE))</f>
        <v/>
      </c>
      <c r="O102" t="str">
        <f ca="1">IF(AND(ISNUMBER($O$300),$B$185=1),$O$300,HLOOKUP(INDIRECT(ADDRESS(2,COLUMN())),OFFSET($BN$2,0,0,ROW()-1,60),ROW()-1,FALSE))</f>
        <v/>
      </c>
      <c r="P102" t="str">
        <f ca="1">IF(AND(ISNUMBER($P$300),$B$185=1),$P$300,HLOOKUP(INDIRECT(ADDRESS(2,COLUMN())),OFFSET($BN$2,0,0,ROW()-1,60),ROW()-1,FALSE))</f>
        <v/>
      </c>
      <c r="Q102" t="str">
        <f ca="1">IF(AND(ISNUMBER($Q$300),$B$185=1),$Q$300,HLOOKUP(INDIRECT(ADDRESS(2,COLUMN())),OFFSET($BN$2,0,0,ROW()-1,60),ROW()-1,FALSE))</f>
        <v/>
      </c>
      <c r="R102" t="str">
        <f ca="1">IF(AND(ISNUMBER($R$300),$B$185=1),$R$300,HLOOKUP(INDIRECT(ADDRESS(2,COLUMN())),OFFSET($BN$2,0,0,ROW()-1,60),ROW()-1,FALSE))</f>
        <v/>
      </c>
      <c r="S102" t="str">
        <f ca="1">IF(AND(ISNUMBER($S$300),$B$185=1),$S$300,HLOOKUP(INDIRECT(ADDRESS(2,COLUMN())),OFFSET($BN$2,0,0,ROW()-1,60),ROW()-1,FALSE))</f>
        <v/>
      </c>
      <c r="T102" t="str">
        <f ca="1">IF(AND(ISNUMBER($T$300),$B$185=1),$T$300,HLOOKUP(INDIRECT(ADDRESS(2,COLUMN())),OFFSET($BN$2,0,0,ROW()-1,60),ROW()-1,FALSE))</f>
        <v/>
      </c>
      <c r="U102" t="str">
        <f ca="1">IF(AND(ISNUMBER($U$300),$B$185=1),$U$300,HLOOKUP(INDIRECT(ADDRESS(2,COLUMN())),OFFSET($BN$2,0,0,ROW()-1,60),ROW()-1,FALSE))</f>
        <v/>
      </c>
      <c r="V102" t="str">
        <f ca="1">IF(AND(ISNUMBER($V$300),$B$185=1),$V$300,HLOOKUP(INDIRECT(ADDRESS(2,COLUMN())),OFFSET($BN$2,0,0,ROW()-1,60),ROW()-1,FALSE))</f>
        <v/>
      </c>
      <c r="W102" t="str">
        <f ca="1">IF(AND(ISNUMBER($W$300),$B$185=1),$W$300,HLOOKUP(INDIRECT(ADDRESS(2,COLUMN())),OFFSET($BN$2,0,0,ROW()-1,60),ROW()-1,FALSE))</f>
        <v/>
      </c>
      <c r="X102" t="str">
        <f ca="1">IF(AND(ISNUMBER($X$300),$B$185=1),$X$300,HLOOKUP(INDIRECT(ADDRESS(2,COLUMN())),OFFSET($BN$2,0,0,ROW()-1,60),ROW()-1,FALSE))</f>
        <v/>
      </c>
      <c r="Y102" t="str">
        <f ca="1">IF(AND(ISNUMBER($Y$300),$B$185=1),$Y$300,HLOOKUP(INDIRECT(ADDRESS(2,COLUMN())),OFFSET($BN$2,0,0,ROW()-1,60),ROW()-1,FALSE))</f>
        <v/>
      </c>
      <c r="Z102" t="str">
        <f ca="1">IF(AND(ISNUMBER($Z$300),$B$185=1),$Z$300,HLOOKUP(INDIRECT(ADDRESS(2,COLUMN())),OFFSET($BN$2,0,0,ROW()-1,60),ROW()-1,FALSE))</f>
        <v/>
      </c>
      <c r="AA102" t="str">
        <f ca="1">IF(AND(ISNUMBER($AA$300),$B$185=1),$AA$300,HLOOKUP(INDIRECT(ADDRESS(2,COLUMN())),OFFSET($BN$2,0,0,ROW()-1,60),ROW()-1,FALSE))</f>
        <v/>
      </c>
      <c r="AB102" t="str">
        <f ca="1">IF(AND(ISNUMBER($AB$300),$B$185=1),$AB$300,HLOOKUP(INDIRECT(ADDRESS(2,COLUMN())),OFFSET($BN$2,0,0,ROW()-1,60),ROW()-1,FALSE))</f>
        <v/>
      </c>
      <c r="AC102" t="str">
        <f ca="1">IF(AND(ISNUMBER($AC$300),$B$185=1),$AC$300,HLOOKUP(INDIRECT(ADDRESS(2,COLUMN())),OFFSET($BN$2,0,0,ROW()-1,60),ROW()-1,FALSE))</f>
        <v/>
      </c>
      <c r="AD102" t="str">
        <f ca="1">IF(AND(ISNUMBER($AD$300),$B$185=1),$AD$300,HLOOKUP(INDIRECT(ADDRESS(2,COLUMN())),OFFSET($BN$2,0,0,ROW()-1,60),ROW()-1,FALSE))</f>
        <v/>
      </c>
      <c r="AE102" t="str">
        <f ca="1">IF(AND(ISNUMBER($AE$300),$B$185=1),$AE$300,HLOOKUP(INDIRECT(ADDRESS(2,COLUMN())),OFFSET($BN$2,0,0,ROW()-1,60),ROW()-1,FALSE))</f>
        <v/>
      </c>
      <c r="AF102" t="str">
        <f ca="1">IF(AND(ISNUMBER($AF$300),$B$185=1),$AF$300,HLOOKUP(INDIRECT(ADDRESS(2,COLUMN())),OFFSET($BN$2,0,0,ROW()-1,60),ROW()-1,FALSE))</f>
        <v/>
      </c>
      <c r="AG102" t="str">
        <f ca="1">IF(AND(ISNUMBER($AG$300),$B$185=1),$AG$300,HLOOKUP(INDIRECT(ADDRESS(2,COLUMN())),OFFSET($BN$2,0,0,ROW()-1,60),ROW()-1,FALSE))</f>
        <v/>
      </c>
      <c r="AH102" t="str">
        <f ca="1">IF(AND(ISNUMBER($AH$300),$B$185=1),$AH$300,HLOOKUP(INDIRECT(ADDRESS(2,COLUMN())),OFFSET($BN$2,0,0,ROW()-1,60),ROW()-1,FALSE))</f>
        <v/>
      </c>
      <c r="AI102" t="str">
        <f ca="1">IF(AND(ISNUMBER($AI$300),$B$185=1),$AI$300,HLOOKUP(INDIRECT(ADDRESS(2,COLUMN())),OFFSET($BN$2,0,0,ROW()-1,60),ROW()-1,FALSE))</f>
        <v/>
      </c>
      <c r="AJ102" t="str">
        <f ca="1">IF(AND(ISNUMBER($AJ$300),$B$185=1),$AJ$300,HLOOKUP(INDIRECT(ADDRESS(2,COLUMN())),OFFSET($BN$2,0,0,ROW()-1,60),ROW()-1,FALSE))</f>
        <v/>
      </c>
      <c r="AK102" t="str">
        <f ca="1">IF(AND(ISNUMBER($AK$300),$B$185=1),$AK$300,HLOOKUP(INDIRECT(ADDRESS(2,COLUMN())),OFFSET($BN$2,0,0,ROW()-1,60),ROW()-1,FALSE))</f>
        <v/>
      </c>
      <c r="AL102" t="str">
        <f ca="1">IF(AND(ISNUMBER($AL$300),$B$185=1),$AL$300,HLOOKUP(INDIRECT(ADDRESS(2,COLUMN())),OFFSET($BN$2,0,0,ROW()-1,60),ROW()-1,FALSE))</f>
        <v/>
      </c>
      <c r="AM102" t="str">
        <f ca="1">IF(AND(ISNUMBER($AM$300),$B$185=1),$AM$300,HLOOKUP(INDIRECT(ADDRESS(2,COLUMN())),OFFSET($BN$2,0,0,ROW()-1,60),ROW()-1,FALSE))</f>
        <v/>
      </c>
      <c r="AN102" t="str">
        <f ca="1">IF(AND(ISNUMBER($AN$300),$B$185=1),$AN$300,HLOOKUP(INDIRECT(ADDRESS(2,COLUMN())),OFFSET($BN$2,0,0,ROW()-1,60),ROW()-1,FALSE))</f>
        <v/>
      </c>
      <c r="AO102" t="str">
        <f ca="1">IF(AND(ISNUMBER($AO$300),$B$185=1),$AO$300,HLOOKUP(INDIRECT(ADDRESS(2,COLUMN())),OFFSET($BN$2,0,0,ROW()-1,60),ROW()-1,FALSE))</f>
        <v/>
      </c>
      <c r="AP102" t="str">
        <f ca="1">IF(AND(ISNUMBER($AP$300),$B$185=1),$AP$300,HLOOKUP(INDIRECT(ADDRESS(2,COLUMN())),OFFSET($BN$2,0,0,ROW()-1,60),ROW()-1,FALSE))</f>
        <v/>
      </c>
      <c r="AQ102" t="str">
        <f ca="1">IF(AND(ISNUMBER($AQ$300),$B$185=1),$AQ$300,HLOOKUP(INDIRECT(ADDRESS(2,COLUMN())),OFFSET($BN$2,0,0,ROW()-1,60),ROW()-1,FALSE))</f>
        <v/>
      </c>
      <c r="AR102" t="str">
        <f ca="1">IF(AND(ISNUMBER($AR$300),$B$185=1),$AR$300,HLOOKUP(INDIRECT(ADDRESS(2,COLUMN())),OFFSET($BN$2,0,0,ROW()-1,60),ROW()-1,FALSE))</f>
        <v/>
      </c>
      <c r="AS102" t="str">
        <f ca="1">IF(AND(ISNUMBER($AS$300),$B$185=1),$AS$300,HLOOKUP(INDIRECT(ADDRESS(2,COLUMN())),OFFSET($BN$2,0,0,ROW()-1,60),ROW()-1,FALSE))</f>
        <v/>
      </c>
      <c r="AT102" t="str">
        <f ca="1">IF(AND(ISNUMBER($AT$300),$B$185=1),$AT$300,HLOOKUP(INDIRECT(ADDRESS(2,COLUMN())),OFFSET($BN$2,0,0,ROW()-1,60),ROW()-1,FALSE))</f>
        <v/>
      </c>
      <c r="AU102" t="str">
        <f ca="1">IF(AND(ISNUMBER($AU$300),$B$185=1),$AU$300,HLOOKUP(INDIRECT(ADDRESS(2,COLUMN())),OFFSET($BN$2,0,0,ROW()-1,60),ROW()-1,FALSE))</f>
        <v/>
      </c>
      <c r="AV102" t="str">
        <f ca="1">IF(AND(ISNUMBER($AV$300),$B$185=1),$AV$300,HLOOKUP(INDIRECT(ADDRESS(2,COLUMN())),OFFSET($BN$2,0,0,ROW()-1,60),ROW()-1,FALSE))</f>
        <v/>
      </c>
      <c r="AW102" t="str">
        <f ca="1">IF(AND(ISNUMBER($AW$300),$B$185=1),$AW$300,HLOOKUP(INDIRECT(ADDRESS(2,COLUMN())),OFFSET($BN$2,0,0,ROW()-1,60),ROW()-1,FALSE))</f>
        <v/>
      </c>
      <c r="AX102" t="str">
        <f ca="1">IF(AND(ISNUMBER($AX$300),$B$185=1),$AX$300,HLOOKUP(INDIRECT(ADDRESS(2,COLUMN())),OFFSET($BN$2,0,0,ROW()-1,60),ROW()-1,FALSE))</f>
        <v/>
      </c>
      <c r="AY102" t="str">
        <f ca="1">IF(AND(ISNUMBER($AY$300),$B$185=1),$AY$300,HLOOKUP(INDIRECT(ADDRESS(2,COLUMN())),OFFSET($BN$2,0,0,ROW()-1,60),ROW()-1,FALSE))</f>
        <v/>
      </c>
      <c r="AZ102" t="str">
        <f ca="1">IF(AND(ISNUMBER($AZ$300),$B$185=1),$AZ$300,HLOOKUP(INDIRECT(ADDRESS(2,COLUMN())),OFFSET($BN$2,0,0,ROW()-1,60),ROW()-1,FALSE))</f>
        <v/>
      </c>
      <c r="BA102" t="str">
        <f ca="1">IF(AND(ISNUMBER($BA$300),$B$185=1),$BA$300,HLOOKUP(INDIRECT(ADDRESS(2,COLUMN())),OFFSET($BN$2,0,0,ROW()-1,60),ROW()-1,FALSE))</f>
        <v/>
      </c>
      <c r="BB102" t="str">
        <f ca="1">IF(AND(ISNUMBER($BB$300),$B$185=1),$BB$300,HLOOKUP(INDIRECT(ADDRESS(2,COLUMN())),OFFSET($BN$2,0,0,ROW()-1,60),ROW()-1,FALSE))</f>
        <v/>
      </c>
      <c r="BC102" t="str">
        <f ca="1">IF(AND(ISNUMBER($BC$300),$B$185=1),$BC$300,HLOOKUP(INDIRECT(ADDRESS(2,COLUMN())),OFFSET($BN$2,0,0,ROW()-1,60),ROW()-1,FALSE))</f>
        <v/>
      </c>
      <c r="BD102" t="str">
        <f ca="1">IF(AND(ISNUMBER($BD$300),$B$185=1),$BD$300,HLOOKUP(INDIRECT(ADDRESS(2,COLUMN())),OFFSET($BN$2,0,0,ROW()-1,60),ROW()-1,FALSE))</f>
        <v/>
      </c>
      <c r="BE102" t="str">
        <f ca="1">IF(AND(ISNUMBER($BE$300),$B$185=1),$BE$300,HLOOKUP(INDIRECT(ADDRESS(2,COLUMN())),OFFSET($BN$2,0,0,ROW()-1,60),ROW()-1,FALSE))</f>
        <v/>
      </c>
      <c r="BF102" t="str">
        <f ca="1">IF(AND(ISNUMBER($BF$300),$B$185=1),$BF$300,HLOOKUP(INDIRECT(ADDRESS(2,COLUMN())),OFFSET($BN$2,0,0,ROW()-1,60),ROW()-1,FALSE))</f>
        <v/>
      </c>
      <c r="BG102" t="str">
        <f ca="1">IF(AND(ISNUMBER($BG$300),$B$185=1),$BG$300,HLOOKUP(INDIRECT(ADDRESS(2,COLUMN())),OFFSET($BN$2,0,0,ROW()-1,60),ROW()-1,FALSE))</f>
        <v/>
      </c>
      <c r="BH102" t="str">
        <f ca="1">IF(AND(ISNUMBER($BH$300),$B$185=1),$BH$300,HLOOKUP(INDIRECT(ADDRESS(2,COLUMN())),OFFSET($BN$2,0,0,ROW()-1,60),ROW()-1,FALSE))</f>
        <v/>
      </c>
      <c r="BI102" t="str">
        <f ca="1">IF(AND(ISNUMBER($BI$300),$B$185=1),$BI$300,HLOOKUP(INDIRECT(ADDRESS(2,COLUMN())),OFFSET($BN$2,0,0,ROW()-1,60),ROW()-1,FALSE))</f>
        <v/>
      </c>
      <c r="BJ102" t="str">
        <f ca="1">IF(AND(ISNUMBER($BJ$300),$B$185=1),$BJ$300,HLOOKUP(INDIRECT(ADDRESS(2,COLUMN())),OFFSET($BN$2,0,0,ROW()-1,60),ROW()-1,FALSE))</f>
        <v/>
      </c>
      <c r="BK102" t="str">
        <f ca="1">IF(AND(ISNUMBER($BK$300),$B$185=1),$BK$300,HLOOKUP(INDIRECT(ADDRESS(2,COLUMN())),OFFSET($BN$2,0,0,ROW()-1,60),ROW()-1,FALSE))</f>
        <v/>
      </c>
      <c r="BL102" t="str">
        <f ca="1">IF(AND(ISNUMBER($BL$300),$B$185=1),$BL$300,HLOOKUP(INDIRECT(ADDRESS(2,COLUMN())),OFFSET($BN$2,0,0,ROW()-1,60),ROW()-1,FALSE))</f>
        <v/>
      </c>
      <c r="BM102" t="str">
        <f ca="1">IF(AND(ISNUMBER($BM$300),$B$185=1),$BM$300,HLOOKUP(INDIRECT(ADDRESS(2,COLUMN())),OFFSET($BN$2,0,0,ROW()-1,60),ROW()-1,FALSE))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  <c r="BT102" t="str">
        <f>""</f>
        <v/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  <c r="CI102" t="str">
        <f>""</f>
        <v/>
      </c>
      <c r="CJ102" t="str">
        <f>""</f>
        <v/>
      </c>
      <c r="CK102" t="str">
        <f>""</f>
        <v/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</row>
    <row r="103" spans="1:125">
      <c r="A103" t="str">
        <f>"    Zions Bancorp NA"</f>
        <v xml:space="preserve">    Zions Bancorp NA</v>
      </c>
      <c r="B103" t="str">
        <f>"ZION US Equity"</f>
        <v>ZION US Equity</v>
      </c>
      <c r="C103" t="str">
        <f t="shared" si="10"/>
        <v>BS961</v>
      </c>
      <c r="D103" t="str">
        <f t="shared" si="11"/>
        <v>BS_RES_MTG_OWNED_SERVICED_PORT</v>
      </c>
      <c r="E103" t="str">
        <f t="shared" si="12"/>
        <v>Dynamic</v>
      </c>
      <c r="F103" t="str">
        <f ca="1">IF(AND(ISNUMBER($F$301),$B$185=1),$F$301,HLOOKUP(INDIRECT(ADDRESS(2,COLUMN())),OFFSET($BN$2,0,0,ROW()-1,60),ROW()-1,FALSE))</f>
        <v/>
      </c>
      <c r="G103" t="str">
        <f ca="1">IF(AND(ISNUMBER($G$301),$B$185=1),$G$301,HLOOKUP(INDIRECT(ADDRESS(2,COLUMN())),OFFSET($BN$2,0,0,ROW()-1,60),ROW()-1,FALSE))</f>
        <v/>
      </c>
      <c r="H103" t="str">
        <f ca="1">IF(AND(ISNUMBER($H$301),$B$185=1),$H$301,HLOOKUP(INDIRECT(ADDRESS(2,COLUMN())),OFFSET($BN$2,0,0,ROW()-1,60),ROW()-1,FALSE))</f>
        <v/>
      </c>
      <c r="I103" t="str">
        <f ca="1">IF(AND(ISNUMBER($I$301),$B$185=1),$I$301,HLOOKUP(INDIRECT(ADDRESS(2,COLUMN())),OFFSET($BN$2,0,0,ROW()-1,60),ROW()-1,FALSE))</f>
        <v/>
      </c>
      <c r="J103" t="str">
        <f ca="1">IF(AND(ISNUMBER($J$301),$B$185=1),$J$301,HLOOKUP(INDIRECT(ADDRESS(2,COLUMN())),OFFSET($BN$2,0,0,ROW()-1,60),ROW()-1,FALSE))</f>
        <v/>
      </c>
      <c r="K103" t="str">
        <f ca="1">IF(AND(ISNUMBER($K$301),$B$185=1),$K$301,HLOOKUP(INDIRECT(ADDRESS(2,COLUMN())),OFFSET($BN$2,0,0,ROW()-1,60),ROW()-1,FALSE))</f>
        <v/>
      </c>
      <c r="L103" t="str">
        <f ca="1">IF(AND(ISNUMBER($L$301),$B$185=1),$L$301,HLOOKUP(INDIRECT(ADDRESS(2,COLUMN())),OFFSET($BN$2,0,0,ROW()-1,60),ROW()-1,FALSE))</f>
        <v/>
      </c>
      <c r="M103" t="str">
        <f ca="1">IF(AND(ISNUMBER($M$301),$B$185=1),$M$301,HLOOKUP(INDIRECT(ADDRESS(2,COLUMN())),OFFSET($BN$2,0,0,ROW()-1,60),ROW()-1,FALSE))</f>
        <v/>
      </c>
      <c r="N103" t="str">
        <f ca="1">IF(AND(ISNUMBER($N$301),$B$185=1),$N$301,HLOOKUP(INDIRECT(ADDRESS(2,COLUMN())),OFFSET($BN$2,0,0,ROW()-1,60),ROW()-1,FALSE))</f>
        <v/>
      </c>
      <c r="O103" t="str">
        <f ca="1">IF(AND(ISNUMBER($O$301),$B$185=1),$O$301,HLOOKUP(INDIRECT(ADDRESS(2,COLUMN())),OFFSET($BN$2,0,0,ROW()-1,60),ROW()-1,FALSE))</f>
        <v/>
      </c>
      <c r="P103" t="str">
        <f ca="1">IF(AND(ISNUMBER($P$301),$B$185=1),$P$301,HLOOKUP(INDIRECT(ADDRESS(2,COLUMN())),OFFSET($BN$2,0,0,ROW()-1,60),ROW()-1,FALSE))</f>
        <v/>
      </c>
      <c r="Q103" t="str">
        <f ca="1">IF(AND(ISNUMBER($Q$301),$B$185=1),$Q$301,HLOOKUP(INDIRECT(ADDRESS(2,COLUMN())),OFFSET($BN$2,0,0,ROW()-1,60),ROW()-1,FALSE))</f>
        <v/>
      </c>
      <c r="R103" t="str">
        <f ca="1">IF(AND(ISNUMBER($R$301),$B$185=1),$R$301,HLOOKUP(INDIRECT(ADDRESS(2,COLUMN())),OFFSET($BN$2,0,0,ROW()-1,60),ROW()-1,FALSE))</f>
        <v/>
      </c>
      <c r="S103" t="str">
        <f ca="1">IF(AND(ISNUMBER($S$301),$B$185=1),$S$301,HLOOKUP(INDIRECT(ADDRESS(2,COLUMN())),OFFSET($BN$2,0,0,ROW()-1,60),ROW()-1,FALSE))</f>
        <v/>
      </c>
      <c r="T103" t="str">
        <f ca="1">IF(AND(ISNUMBER($T$301),$B$185=1),$T$301,HLOOKUP(INDIRECT(ADDRESS(2,COLUMN())),OFFSET($BN$2,0,0,ROW()-1,60),ROW()-1,FALSE))</f>
        <v/>
      </c>
      <c r="U103" t="str">
        <f ca="1">IF(AND(ISNUMBER($U$301),$B$185=1),$U$301,HLOOKUP(INDIRECT(ADDRESS(2,COLUMN())),OFFSET($BN$2,0,0,ROW()-1,60),ROW()-1,FALSE))</f>
        <v/>
      </c>
      <c r="V103" t="str">
        <f ca="1">IF(AND(ISNUMBER($V$301),$B$185=1),$V$301,HLOOKUP(INDIRECT(ADDRESS(2,COLUMN())),OFFSET($BN$2,0,0,ROW()-1,60),ROW()-1,FALSE))</f>
        <v/>
      </c>
      <c r="W103" t="str">
        <f ca="1">IF(AND(ISNUMBER($W$301),$B$185=1),$W$301,HLOOKUP(INDIRECT(ADDRESS(2,COLUMN())),OFFSET($BN$2,0,0,ROW()-1,60),ROW()-1,FALSE))</f>
        <v/>
      </c>
      <c r="X103" t="str">
        <f ca="1">IF(AND(ISNUMBER($X$301),$B$185=1),$X$301,HLOOKUP(INDIRECT(ADDRESS(2,COLUMN())),OFFSET($BN$2,0,0,ROW()-1,60),ROW()-1,FALSE))</f>
        <v/>
      </c>
      <c r="Y103" t="str">
        <f ca="1">IF(AND(ISNUMBER($Y$301),$B$185=1),$Y$301,HLOOKUP(INDIRECT(ADDRESS(2,COLUMN())),OFFSET($BN$2,0,0,ROW()-1,60),ROW()-1,FALSE))</f>
        <v/>
      </c>
      <c r="Z103" t="str">
        <f ca="1">IF(AND(ISNUMBER($Z$301),$B$185=1),$Z$301,HLOOKUP(INDIRECT(ADDRESS(2,COLUMN())),OFFSET($BN$2,0,0,ROW()-1,60),ROW()-1,FALSE))</f>
        <v/>
      </c>
      <c r="AA103" t="str">
        <f ca="1">IF(AND(ISNUMBER($AA$301),$B$185=1),$AA$301,HLOOKUP(INDIRECT(ADDRESS(2,COLUMN())),OFFSET($BN$2,0,0,ROW()-1,60),ROW()-1,FALSE))</f>
        <v/>
      </c>
      <c r="AB103" t="str">
        <f ca="1">IF(AND(ISNUMBER($AB$301),$B$185=1),$AB$301,HLOOKUP(INDIRECT(ADDRESS(2,COLUMN())),OFFSET($BN$2,0,0,ROW()-1,60),ROW()-1,FALSE))</f>
        <v/>
      </c>
      <c r="AC103" t="str">
        <f ca="1">IF(AND(ISNUMBER($AC$301),$B$185=1),$AC$301,HLOOKUP(INDIRECT(ADDRESS(2,COLUMN())),OFFSET($BN$2,0,0,ROW()-1,60),ROW()-1,FALSE))</f>
        <v/>
      </c>
      <c r="AD103" t="str">
        <f ca="1">IF(AND(ISNUMBER($AD$301),$B$185=1),$AD$301,HLOOKUP(INDIRECT(ADDRESS(2,COLUMN())),OFFSET($BN$2,0,0,ROW()-1,60),ROW()-1,FALSE))</f>
        <v/>
      </c>
      <c r="AE103" t="str">
        <f ca="1">IF(AND(ISNUMBER($AE$301),$B$185=1),$AE$301,HLOOKUP(INDIRECT(ADDRESS(2,COLUMN())),OFFSET($BN$2,0,0,ROW()-1,60),ROW()-1,FALSE))</f>
        <v/>
      </c>
      <c r="AF103" t="str">
        <f ca="1">IF(AND(ISNUMBER($AF$301),$B$185=1),$AF$301,HLOOKUP(INDIRECT(ADDRESS(2,COLUMN())),OFFSET($BN$2,0,0,ROW()-1,60),ROW()-1,FALSE))</f>
        <v/>
      </c>
      <c r="AG103" t="str">
        <f ca="1">IF(AND(ISNUMBER($AG$301),$B$185=1),$AG$301,HLOOKUP(INDIRECT(ADDRESS(2,COLUMN())),OFFSET($BN$2,0,0,ROW()-1,60),ROW()-1,FALSE))</f>
        <v/>
      </c>
      <c r="AH103" t="str">
        <f ca="1">IF(AND(ISNUMBER($AH$301),$B$185=1),$AH$301,HLOOKUP(INDIRECT(ADDRESS(2,COLUMN())),OFFSET($BN$2,0,0,ROW()-1,60),ROW()-1,FALSE))</f>
        <v/>
      </c>
      <c r="AI103" t="str">
        <f ca="1">IF(AND(ISNUMBER($AI$301),$B$185=1),$AI$301,HLOOKUP(INDIRECT(ADDRESS(2,COLUMN())),OFFSET($BN$2,0,0,ROW()-1,60),ROW()-1,FALSE))</f>
        <v/>
      </c>
      <c r="AJ103" t="str">
        <f ca="1">IF(AND(ISNUMBER($AJ$301),$B$185=1),$AJ$301,HLOOKUP(INDIRECT(ADDRESS(2,COLUMN())),OFFSET($BN$2,0,0,ROW()-1,60),ROW()-1,FALSE))</f>
        <v/>
      </c>
      <c r="AK103" t="str">
        <f ca="1">IF(AND(ISNUMBER($AK$301),$B$185=1),$AK$301,HLOOKUP(INDIRECT(ADDRESS(2,COLUMN())),OFFSET($BN$2,0,0,ROW()-1,60),ROW()-1,FALSE))</f>
        <v/>
      </c>
      <c r="AL103" t="str">
        <f ca="1">IF(AND(ISNUMBER($AL$301),$B$185=1),$AL$301,HLOOKUP(INDIRECT(ADDRESS(2,COLUMN())),OFFSET($BN$2,0,0,ROW()-1,60),ROW()-1,FALSE))</f>
        <v/>
      </c>
      <c r="AM103" t="str">
        <f ca="1">IF(AND(ISNUMBER($AM$301),$B$185=1),$AM$301,HLOOKUP(INDIRECT(ADDRESS(2,COLUMN())),OFFSET($BN$2,0,0,ROW()-1,60),ROW()-1,FALSE))</f>
        <v/>
      </c>
      <c r="AN103" t="str">
        <f ca="1">IF(AND(ISNUMBER($AN$301),$B$185=1),$AN$301,HLOOKUP(INDIRECT(ADDRESS(2,COLUMN())),OFFSET($BN$2,0,0,ROW()-1,60),ROW()-1,FALSE))</f>
        <v/>
      </c>
      <c r="AO103" t="str">
        <f ca="1">IF(AND(ISNUMBER($AO$301),$B$185=1),$AO$301,HLOOKUP(INDIRECT(ADDRESS(2,COLUMN())),OFFSET($BN$2,0,0,ROW()-1,60),ROW()-1,FALSE))</f>
        <v/>
      </c>
      <c r="AP103" t="str">
        <f ca="1">IF(AND(ISNUMBER($AP$301),$B$185=1),$AP$301,HLOOKUP(INDIRECT(ADDRESS(2,COLUMN())),OFFSET($BN$2,0,0,ROW()-1,60),ROW()-1,FALSE))</f>
        <v/>
      </c>
      <c r="AQ103" t="str">
        <f ca="1">IF(AND(ISNUMBER($AQ$301),$B$185=1),$AQ$301,HLOOKUP(INDIRECT(ADDRESS(2,COLUMN())),OFFSET($BN$2,0,0,ROW()-1,60),ROW()-1,FALSE))</f>
        <v/>
      </c>
      <c r="AR103" t="str">
        <f ca="1">IF(AND(ISNUMBER($AR$301),$B$185=1),$AR$301,HLOOKUP(INDIRECT(ADDRESS(2,COLUMN())),OFFSET($BN$2,0,0,ROW()-1,60),ROW()-1,FALSE))</f>
        <v/>
      </c>
      <c r="AS103" t="str">
        <f ca="1">IF(AND(ISNUMBER($AS$301),$B$185=1),$AS$301,HLOOKUP(INDIRECT(ADDRESS(2,COLUMN())),OFFSET($BN$2,0,0,ROW()-1,60),ROW()-1,FALSE))</f>
        <v/>
      </c>
      <c r="AT103" t="str">
        <f ca="1">IF(AND(ISNUMBER($AT$301),$B$185=1),$AT$301,HLOOKUP(INDIRECT(ADDRESS(2,COLUMN())),OFFSET($BN$2,0,0,ROW()-1,60),ROW()-1,FALSE))</f>
        <v/>
      </c>
      <c r="AU103" t="str">
        <f ca="1">IF(AND(ISNUMBER($AU$301),$B$185=1),$AU$301,HLOOKUP(INDIRECT(ADDRESS(2,COLUMN())),OFFSET($BN$2,0,0,ROW()-1,60),ROW()-1,FALSE))</f>
        <v/>
      </c>
      <c r="AV103" t="str">
        <f ca="1">IF(AND(ISNUMBER($AV$301),$B$185=1),$AV$301,HLOOKUP(INDIRECT(ADDRESS(2,COLUMN())),OFFSET($BN$2,0,0,ROW()-1,60),ROW()-1,FALSE))</f>
        <v/>
      </c>
      <c r="AW103" t="str">
        <f ca="1">IF(AND(ISNUMBER($AW$301),$B$185=1),$AW$301,HLOOKUP(INDIRECT(ADDRESS(2,COLUMN())),OFFSET($BN$2,0,0,ROW()-1,60),ROW()-1,FALSE))</f>
        <v/>
      </c>
      <c r="AX103" t="str">
        <f ca="1">IF(AND(ISNUMBER($AX$301),$B$185=1),$AX$301,HLOOKUP(INDIRECT(ADDRESS(2,COLUMN())),OFFSET($BN$2,0,0,ROW()-1,60),ROW()-1,FALSE))</f>
        <v/>
      </c>
      <c r="AY103" t="str">
        <f ca="1">IF(AND(ISNUMBER($AY$301),$B$185=1),$AY$301,HLOOKUP(INDIRECT(ADDRESS(2,COLUMN())),OFFSET($BN$2,0,0,ROW()-1,60),ROW()-1,FALSE))</f>
        <v/>
      </c>
      <c r="AZ103" t="str">
        <f ca="1">IF(AND(ISNUMBER($AZ$301),$B$185=1),$AZ$301,HLOOKUP(INDIRECT(ADDRESS(2,COLUMN())),OFFSET($BN$2,0,0,ROW()-1,60),ROW()-1,FALSE))</f>
        <v/>
      </c>
      <c r="BA103" t="str">
        <f ca="1">IF(AND(ISNUMBER($BA$301),$B$185=1),$BA$301,HLOOKUP(INDIRECT(ADDRESS(2,COLUMN())),OFFSET($BN$2,0,0,ROW()-1,60),ROW()-1,FALSE))</f>
        <v/>
      </c>
      <c r="BB103" t="str">
        <f ca="1">IF(AND(ISNUMBER($BB$301),$B$185=1),$BB$301,HLOOKUP(INDIRECT(ADDRESS(2,COLUMN())),OFFSET($BN$2,0,0,ROW()-1,60),ROW()-1,FALSE))</f>
        <v/>
      </c>
      <c r="BC103" t="str">
        <f ca="1">IF(AND(ISNUMBER($BC$301),$B$185=1),$BC$301,HLOOKUP(INDIRECT(ADDRESS(2,COLUMN())),OFFSET($BN$2,0,0,ROW()-1,60),ROW()-1,FALSE))</f>
        <v/>
      </c>
      <c r="BD103" t="str">
        <f ca="1">IF(AND(ISNUMBER($BD$301),$B$185=1),$BD$301,HLOOKUP(INDIRECT(ADDRESS(2,COLUMN())),OFFSET($BN$2,0,0,ROW()-1,60),ROW()-1,FALSE))</f>
        <v/>
      </c>
      <c r="BE103" t="str">
        <f ca="1">IF(AND(ISNUMBER($BE$301),$B$185=1),$BE$301,HLOOKUP(INDIRECT(ADDRESS(2,COLUMN())),OFFSET($BN$2,0,0,ROW()-1,60),ROW()-1,FALSE))</f>
        <v/>
      </c>
      <c r="BF103" t="str">
        <f ca="1">IF(AND(ISNUMBER($BF$301),$B$185=1),$BF$301,HLOOKUP(INDIRECT(ADDRESS(2,COLUMN())),OFFSET($BN$2,0,0,ROW()-1,60),ROW()-1,FALSE))</f>
        <v/>
      </c>
      <c r="BG103" t="str">
        <f ca="1">IF(AND(ISNUMBER($BG$301),$B$185=1),$BG$301,HLOOKUP(INDIRECT(ADDRESS(2,COLUMN())),OFFSET($BN$2,0,0,ROW()-1,60),ROW()-1,FALSE))</f>
        <v/>
      </c>
      <c r="BH103" t="str">
        <f ca="1">IF(AND(ISNUMBER($BH$301),$B$185=1),$BH$301,HLOOKUP(INDIRECT(ADDRESS(2,COLUMN())),OFFSET($BN$2,0,0,ROW()-1,60),ROW()-1,FALSE))</f>
        <v/>
      </c>
      <c r="BI103" t="str">
        <f ca="1">IF(AND(ISNUMBER($BI$301),$B$185=1),$BI$301,HLOOKUP(INDIRECT(ADDRESS(2,COLUMN())),OFFSET($BN$2,0,0,ROW()-1,60),ROW()-1,FALSE))</f>
        <v/>
      </c>
      <c r="BJ103" t="str">
        <f ca="1">IF(AND(ISNUMBER($BJ$301),$B$185=1),$BJ$301,HLOOKUP(INDIRECT(ADDRESS(2,COLUMN())),OFFSET($BN$2,0,0,ROW()-1,60),ROW()-1,FALSE))</f>
        <v/>
      </c>
      <c r="BK103" t="str">
        <f ca="1">IF(AND(ISNUMBER($BK$301),$B$185=1),$BK$301,HLOOKUP(INDIRECT(ADDRESS(2,COLUMN())),OFFSET($BN$2,0,0,ROW()-1,60),ROW()-1,FALSE))</f>
        <v/>
      </c>
      <c r="BL103" t="str">
        <f ca="1">IF(AND(ISNUMBER($BL$301),$B$185=1),$BL$301,HLOOKUP(INDIRECT(ADDRESS(2,COLUMN())),OFFSET($BN$2,0,0,ROW()-1,60),ROW()-1,FALSE))</f>
        <v/>
      </c>
      <c r="BM103" t="str">
        <f ca="1">IF(AND(ISNUMBER($BM$301),$B$185=1),$BM$301,HLOOKUP(INDIRECT(ADDRESS(2,COLUMN())),OFFSET($BN$2,0,0,ROW()-1,60),ROW()-1,FALSE))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  <c r="BT103" t="str">
        <f>""</f>
        <v/>
      </c>
      <c r="BU103" t="str">
        <f>""</f>
        <v/>
      </c>
      <c r="BV103" t="str">
        <f>""</f>
        <v/>
      </c>
      <c r="BW103" t="str">
        <f>""</f>
        <v/>
      </c>
      <c r="BX103" t="str">
        <f>""</f>
        <v/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  <c r="CH103" t="str">
        <f>""</f>
        <v/>
      </c>
      <c r="CI103" t="str">
        <f>""</f>
        <v/>
      </c>
      <c r="CJ103" t="str">
        <f>""</f>
        <v/>
      </c>
      <c r="CK103" t="str">
        <f>""</f>
        <v/>
      </c>
      <c r="CL103" t="str">
        <f>""</f>
        <v/>
      </c>
      <c r="CM103" t="str">
        <f>""</f>
        <v/>
      </c>
      <c r="CN103" t="str">
        <f>""</f>
        <v/>
      </c>
      <c r="CO103" t="str">
        <f>""</f>
        <v/>
      </c>
      <c r="CP103" t="str">
        <f>""</f>
        <v/>
      </c>
      <c r="CQ103" t="str">
        <f>""</f>
        <v/>
      </c>
      <c r="CR103" t="str">
        <f>""</f>
        <v/>
      </c>
      <c r="CS103" t="str">
        <f>""</f>
        <v/>
      </c>
      <c r="CT103" t="str">
        <f>""</f>
        <v/>
      </c>
      <c r="CU103" t="str">
        <f>""</f>
        <v/>
      </c>
      <c r="CV103" t="str">
        <f>""</f>
        <v/>
      </c>
      <c r="CW103" t="str">
        <f>""</f>
        <v/>
      </c>
      <c r="CX103" t="str">
        <f>""</f>
        <v/>
      </c>
      <c r="CY103" t="str">
        <f>""</f>
        <v/>
      </c>
      <c r="CZ103" t="str">
        <f>""</f>
        <v/>
      </c>
      <c r="DA103" t="str">
        <f>""</f>
        <v/>
      </c>
      <c r="DB103" t="str">
        <f>""</f>
        <v/>
      </c>
      <c r="DC103" t="str">
        <f>""</f>
        <v/>
      </c>
      <c r="DD103" t="str">
        <f>""</f>
        <v/>
      </c>
      <c r="DE103" t="str">
        <f>""</f>
        <v/>
      </c>
      <c r="DF103" t="str">
        <f>""</f>
        <v/>
      </c>
      <c r="DG103" t="str">
        <f>""</f>
        <v/>
      </c>
      <c r="DH103" t="str">
        <f>""</f>
        <v/>
      </c>
      <c r="DI103" t="str">
        <f>""</f>
        <v/>
      </c>
      <c r="DJ103" t="str">
        <f>""</f>
        <v/>
      </c>
      <c r="DK103" t="str">
        <f>""</f>
        <v/>
      </c>
      <c r="DL103" t="str">
        <f>""</f>
        <v/>
      </c>
      <c r="DM103" t="str">
        <f>""</f>
        <v/>
      </c>
      <c r="DN103" t="str">
        <f>""</f>
        <v/>
      </c>
      <c r="DO103" t="str">
        <f>""</f>
        <v/>
      </c>
      <c r="DP103" t="str">
        <f>""</f>
        <v/>
      </c>
      <c r="DQ103" t="str">
        <f>""</f>
        <v/>
      </c>
      <c r="DR103" t="str">
        <f>""</f>
        <v/>
      </c>
      <c r="DS103" t="str">
        <f>""</f>
        <v/>
      </c>
      <c r="DT103" t="str">
        <f>""</f>
        <v/>
      </c>
      <c r="DU103" t="str">
        <f>""</f>
        <v/>
      </c>
    </row>
    <row r="104" spans="1:125">
      <c r="A104" t="str">
        <f>"Residential Mortgages Serviced for Others"</f>
        <v>Residential Mortgages Serviced for Others</v>
      </c>
      <c r="B104" t="str">
        <f>""</f>
        <v/>
      </c>
      <c r="E104" t="str">
        <f>"Sum"</f>
        <v>Sum</v>
      </c>
      <c r="F104">
        <f ca="1">IF(ISERROR(IF(SUM($F$105:$F$125) = 0, "", SUM($F$105:$F$125))), "", (IF(SUM($F$105:$F$125) = 0, "", SUM($F$105:$F$125))))</f>
        <v>1200693</v>
      </c>
      <c r="G104">
        <f ca="1">IF(ISERROR(IF(SUM($G$105:$G$125) = 0, "", SUM($G$105:$G$125))), "", (IF(SUM($G$105:$G$125) = 0, "", SUM($G$105:$G$125))))</f>
        <v>1417106</v>
      </c>
      <c r="H104">
        <f ca="1">IF(ISERROR(IF(SUM($H$105:$H$125) = 0, "", SUM($H$105:$H$125))), "", (IF(SUM($H$105:$H$125) = 0, "", SUM($H$105:$H$125))))</f>
        <v>1435254</v>
      </c>
      <c r="I104">
        <f ca="1">IF(ISERROR(IF(SUM($I$105:$I$125) = 0, "", SUM($I$105:$I$125))), "", (IF(SUM($I$105:$I$125) = 0, "", SUM($I$105:$I$125))))</f>
        <v>1471003</v>
      </c>
      <c r="J104">
        <f ca="1">IF(ISERROR(IF(SUM($J$105:$J$125) = 0, "", SUM($J$105:$J$125))), "", (IF(SUM($J$105:$J$125) = 0, "", SUM($J$105:$J$125))))</f>
        <v>1505202</v>
      </c>
      <c r="K104">
        <f ca="1">IF(ISERROR(IF(SUM($K$105:$K$125) = 0, "", SUM($K$105:$K$125))), "", (IF(SUM($K$105:$K$125) = 0, "", SUM($K$105:$K$125))))</f>
        <v>1542173.1069999998</v>
      </c>
      <c r="L104">
        <f ca="1">IF(ISERROR(IF(SUM($L$105:$L$125) = 0, "", SUM($L$105:$L$125))), "", (IF(SUM($L$105:$L$125) = 0, "", SUM($L$105:$L$125))))</f>
        <v>1591718</v>
      </c>
      <c r="M104">
        <f ca="1">IF(ISERROR(IF(SUM($M$105:$M$125) = 0, "", SUM($M$105:$M$125))), "", (IF(SUM($M$105:$M$125) = 0, "", SUM($M$105:$M$125))))</f>
        <v>1591842</v>
      </c>
      <c r="N104">
        <f ca="1">IF(ISERROR(IF(SUM($N$105:$N$125) = 0, "", SUM($N$105:$N$125))), "", (IF(SUM($N$105:$N$125) = 0, "", SUM($N$105:$N$125))))</f>
        <v>1585580</v>
      </c>
      <c r="O104">
        <f ca="1">IF(ISERROR(IF(SUM($O$105:$O$125) = 0, "", SUM($O$105:$O$125))), "", (IF(SUM($O$105:$O$125) = 0, "", SUM($O$105:$O$125))))</f>
        <v>1544416</v>
      </c>
      <c r="P104">
        <f ca="1">IF(ISERROR(IF(SUM($P$105:$P$125) = 0, "", SUM($P$105:$P$125))), "", (IF(SUM($P$105:$P$125) = 0, "", SUM($P$105:$P$125))))</f>
        <v>1514599</v>
      </c>
      <c r="Q104">
        <f ca="1">IF(ISERROR(IF(SUM($Q$105:$Q$125) = 0, "", SUM($Q$105:$Q$125))), "", (IF(SUM($Q$105:$Q$125) = 0, "", SUM($Q$105:$Q$125))))</f>
        <v>1487222</v>
      </c>
      <c r="R104">
        <f ca="1">IF(ISERROR(IF(SUM($R$105:$R$125) = 0, "", SUM($R$105:$R$125))), "", (IF(SUM($R$105:$R$125) = 0, "", SUM($R$105:$R$125))))</f>
        <v>1484115</v>
      </c>
      <c r="S104">
        <f ca="1">IF(ISERROR(IF(SUM($S$105:$S$125) = 0, "", SUM($S$105:$S$125))), "", (IF(SUM($S$105:$S$125) = 0, "", SUM($S$105:$S$125))))</f>
        <v>1499646</v>
      </c>
      <c r="T104">
        <f ca="1">IF(ISERROR(IF(SUM($T$105:$T$125) = 0, "", SUM($T$105:$T$125))), "", (IF(SUM($T$105:$T$125) = 0, "", SUM($T$105:$T$125))))</f>
        <v>1436603.5</v>
      </c>
      <c r="U104">
        <f ca="1">IF(ISERROR(IF(SUM($U$105:$U$125) = 0, "", SUM($U$105:$U$125))), "", (IF(SUM($U$105:$U$125) = 0, "", SUM($U$105:$U$125))))</f>
        <v>1491505</v>
      </c>
      <c r="V104">
        <f ca="1">IF(ISERROR(IF(SUM($V$105:$V$125) = 0, "", SUM($V$105:$V$125))), "", (IF(SUM($V$105:$V$125) = 0, "", SUM($V$105:$V$125))))</f>
        <v>1563967</v>
      </c>
      <c r="W104">
        <f ca="1">IF(ISERROR(IF(SUM($W$105:$W$125) = 0, "", SUM($W$105:$W$125))), "", (IF(SUM($W$105:$W$125) = 0, "", SUM($W$105:$W$125))))</f>
        <v>1547084</v>
      </c>
      <c r="X104">
        <f ca="1">IF(ISERROR(IF(SUM($X$105:$X$125) = 0, "", SUM($X$105:$X$125))), "", (IF(SUM($X$105:$X$125) = 0, "", SUM($X$105:$X$125))))</f>
        <v>1737804</v>
      </c>
      <c r="Y104">
        <f ca="1">IF(ISERROR(IF(SUM($Y$105:$Y$125) = 0, "", SUM($Y$105:$Y$125))), "", (IF(SUM($Y$105:$Y$125) = 0, "", SUM($Y$105:$Y$125))))</f>
        <v>1801275</v>
      </c>
      <c r="Z104">
        <f ca="1">IF(ISERROR(IF(SUM($Z$105:$Z$125) = 0, "", SUM($Z$105:$Z$125))), "", (IF(SUM($Z$105:$Z$125) = 0, "", SUM($Z$105:$Z$125))))</f>
        <v>1824124</v>
      </c>
      <c r="AA104">
        <f ca="1">IF(ISERROR(IF(SUM($AA$105:$AA$125) = 0, "", SUM($AA$105:$AA$125))), "", (IF(SUM($AA$105:$AA$125) = 0, "", SUM($AA$105:$AA$125))))</f>
        <v>1658256</v>
      </c>
      <c r="AB104">
        <f ca="1">IF(ISERROR(IF(SUM($AB$105:$AB$125) = 0, "", SUM($AB$105:$AB$125))), "", (IF(SUM($AB$105:$AB$125) = 0, "", SUM($AB$105:$AB$125))))</f>
        <v>1774815</v>
      </c>
      <c r="AC104">
        <f ca="1">IF(ISERROR(IF(SUM($AC$105:$AC$125) = 0, "", SUM($AC$105:$AC$125))), "", (IF(SUM($AC$105:$AC$125) = 0, "", SUM($AC$105:$AC$125))))</f>
        <v>1759986</v>
      </c>
      <c r="AD104">
        <f ca="1">IF(ISERROR(IF(SUM($AD$105:$AD$125) = 0, "", SUM($AD$105:$AD$125))), "", (IF(SUM($AD$105:$AD$125) = 0, "", SUM($AD$105:$AD$125))))</f>
        <v>606040</v>
      </c>
      <c r="AE104">
        <f ca="1">IF(ISERROR(IF(SUM($AE$105:$AE$125) = 0, "", SUM($AE$105:$AE$125))), "", (IF(SUM($AE$105:$AE$125) = 0, "", SUM($AE$105:$AE$125))))</f>
        <v>1797183</v>
      </c>
      <c r="AF104">
        <f ca="1">IF(ISERROR(IF(SUM($AF$105:$AF$125) = 0, "", SUM($AF$105:$AF$125))), "", (IF(SUM($AF$105:$AF$125) = 0, "", SUM($AF$105:$AF$125))))</f>
        <v>1793854</v>
      </c>
      <c r="AG104">
        <f ca="1">IF(ISERROR(IF(SUM($AG$105:$AG$125) = 0, "", SUM($AG$105:$AG$125))), "", (IF(SUM($AG$105:$AG$125) = 0, "", SUM($AG$105:$AG$125))))</f>
        <v>1807296</v>
      </c>
      <c r="AH104">
        <f ca="1">IF(ISERROR(IF(SUM($AH$105:$AH$125) = 0, "", SUM($AH$105:$AH$125))), "", (IF(SUM($AH$105:$AH$125) = 0, "", SUM($AH$105:$AH$125))))</f>
        <v>1817180</v>
      </c>
      <c r="AI104">
        <f ca="1">IF(ISERROR(IF(SUM($AI$105:$AI$125) = 0, "", SUM($AI$105:$AI$125))), "", (IF(SUM($AI$105:$AI$125) = 0, "", SUM($AI$105:$AI$125))))</f>
        <v>1834958</v>
      </c>
      <c r="AJ104">
        <f ca="1">IF(ISERROR(IF(SUM($AJ$105:$AJ$125) = 0, "", SUM($AJ$105:$AJ$125))), "", (IF(SUM($AJ$105:$AJ$125) = 0, "", SUM($AJ$105:$AJ$125))))</f>
        <v>1794307</v>
      </c>
      <c r="AK104">
        <f ca="1">IF(ISERROR(IF(SUM($AK$105:$AK$125) = 0, "", SUM($AK$105:$AK$125))), "", (IF(SUM($AK$105:$AK$125) = 0, "", SUM($AK$105:$AK$125))))</f>
        <v>1794904</v>
      </c>
      <c r="AL104">
        <f ca="1">IF(ISERROR(IF(SUM($AL$105:$AL$125) = 0, "", SUM($AL$105:$AL$125))), "", (IF(SUM($AL$105:$AL$125) = 0, "", SUM($AL$105:$AL$125))))</f>
        <v>1650978</v>
      </c>
      <c r="AM104">
        <f ca="1">IF(ISERROR(IF(SUM($AM$105:$AM$125) = 0, "", SUM($AM$105:$AM$125))), "", (IF(SUM($AM$105:$AM$125) = 0, "", SUM($AM$105:$AM$125))))</f>
        <v>1800035</v>
      </c>
      <c r="AN104">
        <f ca="1">IF(ISERROR(IF(SUM($AN$105:$AN$125) = 0, "", SUM($AN$105:$AN$125))), "", (IF(SUM($AN$105:$AN$125) = 0, "", SUM($AN$105:$AN$125))))</f>
        <v>1825630</v>
      </c>
      <c r="AO104">
        <f ca="1">IF(ISERROR(IF(SUM($AO$105:$AO$125) = 0, "", SUM($AO$105:$AO$125))), "", (IF(SUM($AO$105:$AO$125) = 0, "", SUM($AO$105:$AO$125))))</f>
        <v>1859328</v>
      </c>
      <c r="AP104">
        <f ca="1">IF(ISERROR(IF(SUM($AP$105:$AP$125) = 0, "", SUM($AP$105:$AP$125))), "", (IF(SUM($AP$105:$AP$125) = 0, "", SUM($AP$105:$AP$125))))</f>
        <v>1880375</v>
      </c>
      <c r="AQ104">
        <f ca="1">IF(ISERROR(IF(SUM($AQ$105:$AQ$125) = 0, "", SUM($AQ$105:$AQ$125))), "", (IF(SUM($AQ$105:$AQ$125) = 0, "", SUM($AQ$105:$AQ$125))))</f>
        <v>1904245</v>
      </c>
      <c r="AR104">
        <f ca="1">IF(ISERROR(IF(SUM($AR$105:$AR$125) = 0, "", SUM($AR$105:$AR$125))), "", (IF(SUM($AR$105:$AR$125) = 0, "", SUM($AR$105:$AR$125))))</f>
        <v>1915332</v>
      </c>
      <c r="AS104">
        <f ca="1">IF(ISERROR(IF(SUM($AS$105:$AS$125) = 0, "", SUM($AS$105:$AS$125))), "", (IF(SUM($AS$105:$AS$125) = 0, "", SUM($AS$105:$AS$125))))</f>
        <v>1879790.2</v>
      </c>
      <c r="AT104">
        <f ca="1">IF(ISERROR(IF(SUM($AT$105:$AT$125) = 0, "", SUM($AT$105:$AT$125))), "", (IF(SUM($AT$105:$AT$125) = 0, "", SUM($AT$105:$AT$125))))</f>
        <v>1971464</v>
      </c>
      <c r="AU104">
        <f ca="1">IF(ISERROR(IF(SUM($AU$105:$AU$125) = 0, "", SUM($AU$105:$AU$125))), "", (IF(SUM($AU$105:$AU$125) = 0, "", SUM($AU$105:$AU$125))))</f>
        <v>1925168.5929999999</v>
      </c>
      <c r="AV104">
        <f ca="1">IF(ISERROR(IF(SUM($AV$105:$AV$125) = 0, "", SUM($AV$105:$AV$125))), "", (IF(SUM($AV$105:$AV$125) = 0, "", SUM($AV$105:$AV$125))))</f>
        <v>2024752</v>
      </c>
      <c r="AW104">
        <f ca="1">IF(ISERROR(IF(SUM($AW$105:$AW$125) = 0, "", SUM($AW$105:$AW$125))), "", (IF(SUM($AW$105:$AW$125) = 0, "", SUM($AW$105:$AW$125))))</f>
        <v>2051290</v>
      </c>
      <c r="AX104">
        <f ca="1">IF(ISERROR(IF(SUM($AX$105:$AX$125) = 0, "", SUM($AX$105:$AX$125))), "", (IF(SUM($AX$105:$AX$125) = 0, "", SUM($AX$105:$AX$125))))</f>
        <v>2095315</v>
      </c>
      <c r="AY104">
        <f ca="1">IF(ISERROR(IF(SUM($AY$105:$AY$125) = 0, "", SUM($AY$105:$AY$125))), "", (IF(SUM($AY$105:$AY$125) = 0, "", SUM($AY$105:$AY$125))))</f>
        <v>2057582.4620000001</v>
      </c>
      <c r="AZ104">
        <f ca="1">IF(ISERROR(IF(SUM($AZ$105:$AZ$125) = 0, "", SUM($AZ$105:$AZ$125))), "", (IF(SUM($AZ$105:$AZ$125) = 0, "", SUM($AZ$105:$AZ$125))))</f>
        <v>2022463</v>
      </c>
      <c r="BA104">
        <f ca="1">IF(ISERROR(IF(SUM($BA$105:$BA$125) = 0, "", SUM($BA$105:$BA$125))), "", (IF(SUM($BA$105:$BA$125) = 0, "", SUM($BA$105:$BA$125))))</f>
        <v>2015418</v>
      </c>
      <c r="BB104">
        <f ca="1">IF(ISERROR(IF(SUM($BB$105:$BB$125) = 0, "", SUM($BB$105:$BB$125))), "", (IF(SUM($BB$105:$BB$125) = 0, "", SUM($BB$105:$BB$125))))</f>
        <v>2042829</v>
      </c>
      <c r="BC104">
        <f ca="1">IF(ISERROR(IF(SUM($BC$105:$BC$125) = 0, "", SUM($BC$105:$BC$125))), "", (IF(SUM($BC$105:$BC$125) = 0, "", SUM($BC$105:$BC$125))))</f>
        <v>2021223</v>
      </c>
      <c r="BD104">
        <f ca="1">IF(ISERROR(IF(SUM($BD$105:$BD$125) = 0, "", SUM($BD$105:$BD$125))), "", (IF(SUM($BD$105:$BD$125) = 0, "", SUM($BD$105:$BD$125))))</f>
        <v>2004840</v>
      </c>
      <c r="BE104">
        <f ca="1">IF(ISERROR(IF(SUM($BE$105:$BE$125) = 0, "", SUM($BE$105:$BE$125))), "", (IF(SUM($BE$105:$BE$125) = 0, "", SUM($BE$105:$BE$125))))</f>
        <v>1985891</v>
      </c>
      <c r="BF104">
        <f ca="1">IF(ISERROR(IF(SUM($BF$105:$BF$125) = 0, "", SUM($BF$105:$BF$125))), "", (IF(SUM($BF$105:$BF$125) = 0, "", SUM($BF$105:$BF$125))))</f>
        <v>1968134</v>
      </c>
      <c r="BG104">
        <f ca="1">IF(ISERROR(IF(SUM($BG$105:$BG$125) = 0, "", SUM($BG$105:$BG$125))), "", (IF(SUM($BG$105:$BG$125) = 0, "", SUM($BG$105:$BG$125))))</f>
        <v>1925821</v>
      </c>
      <c r="BH104">
        <f ca="1">IF(ISERROR(IF(SUM($BH$105:$BH$125) = 0, "", SUM($BH$105:$BH$125))), "", (IF(SUM($BH$105:$BH$125) = 0, "", SUM($BH$105:$BH$125))))</f>
        <v>1928845</v>
      </c>
      <c r="BI104">
        <f ca="1">IF(ISERROR(IF(SUM($BI$105:$BI$125) = 0, "", SUM($BI$105:$BI$125))), "", (IF(SUM($BI$105:$BI$125) = 0, "", SUM($BI$105:$BI$125))))</f>
        <v>1915715</v>
      </c>
      <c r="BJ104">
        <f ca="1">IF(ISERROR(IF(SUM($BJ$105:$BJ$125) = 0, "", SUM($BJ$105:$BJ$125))), "", (IF(SUM($BJ$105:$BJ$125) = 0, "", SUM($BJ$105:$BJ$125))))</f>
        <v>1885814</v>
      </c>
      <c r="BK104">
        <f ca="1">IF(ISERROR(IF(SUM($BK$105:$BK$125) = 0, "", SUM($BK$105:$BK$125))), "", (IF(SUM($BK$105:$BK$125) = 0, "", SUM($BK$105:$BK$125))))</f>
        <v>1874158</v>
      </c>
      <c r="BL104">
        <f ca="1">IF(ISERROR(IF(SUM($BL$105:$BL$125) = 0, "", SUM($BL$105:$BL$125))), "", (IF(SUM($BL$105:$BL$125) = 0, "", SUM($BL$105:$BL$125))))</f>
        <v>1879607</v>
      </c>
      <c r="BM104">
        <f ca="1">IF(ISERROR(IF(SUM($BM$105:$BM$125) = 0, "", SUM($BM$105:$BM$125))), "", (IF(SUM($BM$105:$BM$125) = 0, "", SUM($BM$105:$BM$125))))</f>
        <v>141000</v>
      </c>
      <c r="BN104">
        <f>1200693</f>
        <v>1200693</v>
      </c>
      <c r="BO104">
        <f>1417106</f>
        <v>1417106</v>
      </c>
      <c r="BP104">
        <f>1435254</f>
        <v>1435254</v>
      </c>
      <c r="BQ104">
        <f>1471003</f>
        <v>1471003</v>
      </c>
      <c r="BR104">
        <f>1505202</f>
        <v>1505202</v>
      </c>
      <c r="BS104">
        <f>1542173.107</f>
        <v>1542173.1070000001</v>
      </c>
      <c r="BT104">
        <f>1591718</f>
        <v>1591718</v>
      </c>
      <c r="BU104">
        <f>1591842</f>
        <v>1591842</v>
      </c>
      <c r="BV104">
        <f>1585580</f>
        <v>1585580</v>
      </c>
      <c r="BW104">
        <f>1544416</f>
        <v>1544416</v>
      </c>
      <c r="BX104">
        <f>1514599</f>
        <v>1514599</v>
      </c>
      <c r="BY104">
        <f>1487222</f>
        <v>1487222</v>
      </c>
      <c r="BZ104">
        <f>1484115</f>
        <v>1484115</v>
      </c>
      <c r="CA104">
        <f>1499646</f>
        <v>1499646</v>
      </c>
      <c r="CB104">
        <f>1436603.5</f>
        <v>1436603.5</v>
      </c>
      <c r="CC104">
        <f>1491505</f>
        <v>1491505</v>
      </c>
      <c r="CD104">
        <f>1563967</f>
        <v>1563967</v>
      </c>
      <c r="CE104">
        <f>1547084</f>
        <v>1547084</v>
      </c>
      <c r="CF104">
        <f>1737804</f>
        <v>1737804</v>
      </c>
      <c r="CG104">
        <f>1801275</f>
        <v>1801275</v>
      </c>
      <c r="CH104">
        <f>1824124</f>
        <v>1824124</v>
      </c>
      <c r="CI104">
        <f>1658256</f>
        <v>1658256</v>
      </c>
      <c r="CJ104">
        <f>1774815</f>
        <v>1774815</v>
      </c>
      <c r="CK104">
        <f>1759986</f>
        <v>1759986</v>
      </c>
      <c r="CL104">
        <f>606040</f>
        <v>606040</v>
      </c>
      <c r="CM104">
        <f>1797183</f>
        <v>1797183</v>
      </c>
      <c r="CN104">
        <f>1793854</f>
        <v>1793854</v>
      </c>
      <c r="CO104">
        <f>1807296</f>
        <v>1807296</v>
      </c>
      <c r="CP104">
        <f>1817180</f>
        <v>1817180</v>
      </c>
      <c r="CQ104">
        <f>1834958</f>
        <v>1834958</v>
      </c>
      <c r="CR104">
        <f>1794307</f>
        <v>1794307</v>
      </c>
      <c r="CS104">
        <f>1794904</f>
        <v>1794904</v>
      </c>
      <c r="CT104">
        <f>1650978</f>
        <v>1650978</v>
      </c>
      <c r="CU104">
        <f>1800035</f>
        <v>1800035</v>
      </c>
      <c r="CV104">
        <f>1825630</f>
        <v>1825630</v>
      </c>
      <c r="CW104">
        <f>1859328</f>
        <v>1859328</v>
      </c>
      <c r="CX104">
        <f>1880375</f>
        <v>1880375</v>
      </c>
      <c r="CY104">
        <f>1904245</f>
        <v>1904245</v>
      </c>
      <c r="CZ104">
        <f>1915332</f>
        <v>1915332</v>
      </c>
      <c r="DA104">
        <f>1879790.2</f>
        <v>1879790.2</v>
      </c>
      <c r="DB104">
        <f>1971464</f>
        <v>1971464</v>
      </c>
      <c r="DC104">
        <f>1925168.593</f>
        <v>1925168.5930000001</v>
      </c>
      <c r="DD104">
        <f>2024752</f>
        <v>2024752</v>
      </c>
      <c r="DE104">
        <f>2051290</f>
        <v>2051290</v>
      </c>
      <c r="DF104">
        <f>2095315</f>
        <v>2095315</v>
      </c>
      <c r="DG104">
        <f>2057582.462</f>
        <v>2057582.4620000001</v>
      </c>
      <c r="DH104">
        <f>2022463</f>
        <v>2022463</v>
      </c>
      <c r="DI104">
        <f>2015418</f>
        <v>2015418</v>
      </c>
      <c r="DJ104">
        <f>2042829</f>
        <v>2042829</v>
      </c>
      <c r="DK104">
        <f>2021223</f>
        <v>2021223</v>
      </c>
      <c r="DL104">
        <f>2004840</f>
        <v>2004840</v>
      </c>
      <c r="DM104">
        <f>1985891</f>
        <v>1985891</v>
      </c>
      <c r="DN104">
        <f>1968134</f>
        <v>1968134</v>
      </c>
      <c r="DO104">
        <f>1925821</f>
        <v>1925821</v>
      </c>
      <c r="DP104">
        <f>1928845</f>
        <v>1928845</v>
      </c>
      <c r="DQ104">
        <f>1915715</f>
        <v>1915715</v>
      </c>
      <c r="DR104">
        <f>1885814</f>
        <v>1885814</v>
      </c>
      <c r="DS104">
        <f>1874158</f>
        <v>1874158</v>
      </c>
      <c r="DT104">
        <f>1879607</f>
        <v>1879607</v>
      </c>
      <c r="DU104">
        <f>141000</f>
        <v>141000</v>
      </c>
    </row>
    <row r="105" spans="1:125">
      <c r="A105" t="str">
        <f>"    Bank OZK"</f>
        <v xml:space="preserve">    Bank OZK</v>
      </c>
      <c r="B105" t="str">
        <f>"OZK US Equity"</f>
        <v>OZK US Equity</v>
      </c>
      <c r="C105" t="str">
        <f t="shared" ref="C105:C125" si="13">"BS960"</f>
        <v>BS960</v>
      </c>
      <c r="D105" t="str">
        <f t="shared" ref="D105:D125" si="14">"BS_RESIDENT_MTG_SERVICED_OTHERS"</f>
        <v>BS_RESIDENT_MTG_SERVICED_OTHERS</v>
      </c>
      <c r="E105" t="str">
        <f t="shared" ref="E105:E125" si="15">"Dynamic"</f>
        <v>Dynamic</v>
      </c>
      <c r="F105" t="str">
        <f ca="1">IF(AND(ISNUMBER($F$302),$B$185=1),$F$302,HLOOKUP(INDIRECT(ADDRESS(2,COLUMN())),OFFSET($BN$2,0,0,ROW()-1,60),ROW()-1,FALSE))</f>
        <v/>
      </c>
      <c r="G105" t="str">
        <f ca="1">IF(AND(ISNUMBER($G$302),$B$185=1),$G$302,HLOOKUP(INDIRECT(ADDRESS(2,COLUMN())),OFFSET($BN$2,0,0,ROW()-1,60),ROW()-1,FALSE))</f>
        <v/>
      </c>
      <c r="H105" t="str">
        <f ca="1">IF(AND(ISNUMBER($H$302),$B$185=1),$H$302,HLOOKUP(INDIRECT(ADDRESS(2,COLUMN())),OFFSET($BN$2,0,0,ROW()-1,60),ROW()-1,FALSE))</f>
        <v/>
      </c>
      <c r="I105" t="str">
        <f ca="1">IF(AND(ISNUMBER($I$302),$B$185=1),$I$302,HLOOKUP(INDIRECT(ADDRESS(2,COLUMN())),OFFSET($BN$2,0,0,ROW()-1,60),ROW()-1,FALSE))</f>
        <v/>
      </c>
      <c r="J105" t="str">
        <f ca="1">IF(AND(ISNUMBER($J$302),$B$185=1),$J$302,HLOOKUP(INDIRECT(ADDRESS(2,COLUMN())),OFFSET($BN$2,0,0,ROW()-1,60),ROW()-1,FALSE))</f>
        <v/>
      </c>
      <c r="K105" t="str">
        <f ca="1">IF(AND(ISNUMBER($K$302),$B$185=1),$K$302,HLOOKUP(INDIRECT(ADDRESS(2,COLUMN())),OFFSET($BN$2,0,0,ROW()-1,60),ROW()-1,FALSE))</f>
        <v/>
      </c>
      <c r="L105" t="str">
        <f ca="1">IF(AND(ISNUMBER($L$302),$B$185=1),$L$302,HLOOKUP(INDIRECT(ADDRESS(2,COLUMN())),OFFSET($BN$2,0,0,ROW()-1,60),ROW()-1,FALSE))</f>
        <v/>
      </c>
      <c r="M105" t="str">
        <f ca="1">IF(AND(ISNUMBER($M$302),$B$185=1),$M$302,HLOOKUP(INDIRECT(ADDRESS(2,COLUMN())),OFFSET($BN$2,0,0,ROW()-1,60),ROW()-1,FALSE))</f>
        <v/>
      </c>
      <c r="N105" t="str">
        <f ca="1">IF(AND(ISNUMBER($N$302),$B$185=1),$N$302,HLOOKUP(INDIRECT(ADDRESS(2,COLUMN())),OFFSET($BN$2,0,0,ROW()-1,60),ROW()-1,FALSE))</f>
        <v/>
      </c>
      <c r="O105" t="str">
        <f ca="1">IF(AND(ISNUMBER($O$302),$B$185=1),$O$302,HLOOKUP(INDIRECT(ADDRESS(2,COLUMN())),OFFSET($BN$2,0,0,ROW()-1,60),ROW()-1,FALSE))</f>
        <v/>
      </c>
      <c r="P105" t="str">
        <f ca="1">IF(AND(ISNUMBER($P$302),$B$185=1),$P$302,HLOOKUP(INDIRECT(ADDRESS(2,COLUMN())),OFFSET($BN$2,0,0,ROW()-1,60),ROW()-1,FALSE))</f>
        <v/>
      </c>
      <c r="Q105" t="str">
        <f ca="1">IF(AND(ISNUMBER($Q$302),$B$185=1),$Q$302,HLOOKUP(INDIRECT(ADDRESS(2,COLUMN())),OFFSET($BN$2,0,0,ROW()-1,60),ROW()-1,FALSE))</f>
        <v/>
      </c>
      <c r="R105" t="str">
        <f ca="1">IF(AND(ISNUMBER($R$302),$B$185=1),$R$302,HLOOKUP(INDIRECT(ADDRESS(2,COLUMN())),OFFSET($BN$2,0,0,ROW()-1,60),ROW()-1,FALSE))</f>
        <v/>
      </c>
      <c r="S105" t="str">
        <f ca="1">IF(AND(ISNUMBER($S$302),$B$185=1),$S$302,HLOOKUP(INDIRECT(ADDRESS(2,COLUMN())),OFFSET($BN$2,0,0,ROW()-1,60),ROW()-1,FALSE))</f>
        <v/>
      </c>
      <c r="T105" t="str">
        <f ca="1">IF(AND(ISNUMBER($T$302),$B$185=1),$T$302,HLOOKUP(INDIRECT(ADDRESS(2,COLUMN())),OFFSET($BN$2,0,0,ROW()-1,60),ROW()-1,FALSE))</f>
        <v/>
      </c>
      <c r="U105" t="str">
        <f ca="1">IF(AND(ISNUMBER($U$302),$B$185=1),$U$302,HLOOKUP(INDIRECT(ADDRESS(2,COLUMN())),OFFSET($BN$2,0,0,ROW()-1,60),ROW()-1,FALSE))</f>
        <v/>
      </c>
      <c r="V105" t="str">
        <f ca="1">IF(AND(ISNUMBER($V$302),$B$185=1),$V$302,HLOOKUP(INDIRECT(ADDRESS(2,COLUMN())),OFFSET($BN$2,0,0,ROW()-1,60),ROW()-1,FALSE))</f>
        <v/>
      </c>
      <c r="W105" t="str">
        <f ca="1">IF(AND(ISNUMBER($W$302),$B$185=1),$W$302,HLOOKUP(INDIRECT(ADDRESS(2,COLUMN())),OFFSET($BN$2,0,0,ROW()-1,60),ROW()-1,FALSE))</f>
        <v/>
      </c>
      <c r="X105" t="str">
        <f ca="1">IF(AND(ISNUMBER($X$302),$B$185=1),$X$302,HLOOKUP(INDIRECT(ADDRESS(2,COLUMN())),OFFSET($BN$2,0,0,ROW()-1,60),ROW()-1,FALSE))</f>
        <v/>
      </c>
      <c r="Y105" t="str">
        <f ca="1">IF(AND(ISNUMBER($Y$302),$B$185=1),$Y$302,HLOOKUP(INDIRECT(ADDRESS(2,COLUMN())),OFFSET($BN$2,0,0,ROW()-1,60),ROW()-1,FALSE))</f>
        <v/>
      </c>
      <c r="Z105" t="str">
        <f ca="1">IF(AND(ISNUMBER($Z$302),$B$185=1),$Z$302,HLOOKUP(INDIRECT(ADDRESS(2,COLUMN())),OFFSET($BN$2,0,0,ROW()-1,60),ROW()-1,FALSE))</f>
        <v/>
      </c>
      <c r="AA105" t="str">
        <f ca="1">IF(AND(ISNUMBER($AA$302),$B$185=1),$AA$302,HLOOKUP(INDIRECT(ADDRESS(2,COLUMN())),OFFSET($BN$2,0,0,ROW()-1,60),ROW()-1,FALSE))</f>
        <v/>
      </c>
      <c r="AB105" t="str">
        <f ca="1">IF(AND(ISNUMBER($AB$302),$B$185=1),$AB$302,HLOOKUP(INDIRECT(ADDRESS(2,COLUMN())),OFFSET($BN$2,0,0,ROW()-1,60),ROW()-1,FALSE))</f>
        <v/>
      </c>
      <c r="AC105" t="str">
        <f ca="1">IF(AND(ISNUMBER($AC$302),$B$185=1),$AC$302,HLOOKUP(INDIRECT(ADDRESS(2,COLUMN())),OFFSET($BN$2,0,0,ROW()-1,60),ROW()-1,FALSE))</f>
        <v/>
      </c>
      <c r="AD105" t="str">
        <f ca="1">IF(AND(ISNUMBER($AD$302),$B$185=1),$AD$302,HLOOKUP(INDIRECT(ADDRESS(2,COLUMN())),OFFSET($BN$2,0,0,ROW()-1,60),ROW()-1,FALSE))</f>
        <v/>
      </c>
      <c r="AE105" t="str">
        <f ca="1">IF(AND(ISNUMBER($AE$302),$B$185=1),$AE$302,HLOOKUP(INDIRECT(ADDRESS(2,COLUMN())),OFFSET($BN$2,0,0,ROW()-1,60),ROW()-1,FALSE))</f>
        <v/>
      </c>
      <c r="AF105" t="str">
        <f ca="1">IF(AND(ISNUMBER($AF$302),$B$185=1),$AF$302,HLOOKUP(INDIRECT(ADDRESS(2,COLUMN())),OFFSET($BN$2,0,0,ROW()-1,60),ROW()-1,FALSE))</f>
        <v/>
      </c>
      <c r="AG105" t="str">
        <f ca="1">IF(AND(ISNUMBER($AG$302),$B$185=1),$AG$302,HLOOKUP(INDIRECT(ADDRESS(2,COLUMN())),OFFSET($BN$2,0,0,ROW()-1,60),ROW()-1,FALSE))</f>
        <v/>
      </c>
      <c r="AH105" t="str">
        <f ca="1">IF(AND(ISNUMBER($AH$302),$B$185=1),$AH$302,HLOOKUP(INDIRECT(ADDRESS(2,COLUMN())),OFFSET($BN$2,0,0,ROW()-1,60),ROW()-1,FALSE))</f>
        <v/>
      </c>
      <c r="AI105" t="str">
        <f ca="1">IF(AND(ISNUMBER($AI$302),$B$185=1),$AI$302,HLOOKUP(INDIRECT(ADDRESS(2,COLUMN())),OFFSET($BN$2,0,0,ROW()-1,60),ROW()-1,FALSE))</f>
        <v/>
      </c>
      <c r="AJ105" t="str">
        <f ca="1">IF(AND(ISNUMBER($AJ$302),$B$185=1),$AJ$302,HLOOKUP(INDIRECT(ADDRESS(2,COLUMN())),OFFSET($BN$2,0,0,ROW()-1,60),ROW()-1,FALSE))</f>
        <v/>
      </c>
      <c r="AK105" t="str">
        <f ca="1">IF(AND(ISNUMBER($AK$302),$B$185=1),$AK$302,HLOOKUP(INDIRECT(ADDRESS(2,COLUMN())),OFFSET($BN$2,0,0,ROW()-1,60),ROW()-1,FALSE))</f>
        <v/>
      </c>
      <c r="AL105" t="str">
        <f ca="1">IF(AND(ISNUMBER($AL$302),$B$185=1),$AL$302,HLOOKUP(INDIRECT(ADDRESS(2,COLUMN())),OFFSET($BN$2,0,0,ROW()-1,60),ROW()-1,FALSE))</f>
        <v/>
      </c>
      <c r="AM105" t="str">
        <f ca="1">IF(AND(ISNUMBER($AM$302),$B$185=1),$AM$302,HLOOKUP(INDIRECT(ADDRESS(2,COLUMN())),OFFSET($BN$2,0,0,ROW()-1,60),ROW()-1,FALSE))</f>
        <v/>
      </c>
      <c r="AN105" t="str">
        <f ca="1">IF(AND(ISNUMBER($AN$302),$B$185=1),$AN$302,HLOOKUP(INDIRECT(ADDRESS(2,COLUMN())),OFFSET($BN$2,0,0,ROW()-1,60),ROW()-1,FALSE))</f>
        <v/>
      </c>
      <c r="AO105" t="str">
        <f ca="1">IF(AND(ISNUMBER($AO$302),$B$185=1),$AO$302,HLOOKUP(INDIRECT(ADDRESS(2,COLUMN())),OFFSET($BN$2,0,0,ROW()-1,60),ROW()-1,FALSE))</f>
        <v/>
      </c>
      <c r="AP105" t="str">
        <f ca="1">IF(AND(ISNUMBER($AP$302),$B$185=1),$AP$302,HLOOKUP(INDIRECT(ADDRESS(2,COLUMN())),OFFSET($BN$2,0,0,ROW()-1,60),ROW()-1,FALSE))</f>
        <v/>
      </c>
      <c r="AQ105" t="str">
        <f ca="1">IF(AND(ISNUMBER($AQ$302),$B$185=1),$AQ$302,HLOOKUP(INDIRECT(ADDRESS(2,COLUMN())),OFFSET($BN$2,0,0,ROW()-1,60),ROW()-1,FALSE))</f>
        <v/>
      </c>
      <c r="AR105" t="str">
        <f ca="1">IF(AND(ISNUMBER($AR$302),$B$185=1),$AR$302,HLOOKUP(INDIRECT(ADDRESS(2,COLUMN())),OFFSET($BN$2,0,0,ROW()-1,60),ROW()-1,FALSE))</f>
        <v/>
      </c>
      <c r="AS105" t="str">
        <f ca="1">IF(AND(ISNUMBER($AS$302),$B$185=1),$AS$302,HLOOKUP(INDIRECT(ADDRESS(2,COLUMN())),OFFSET($BN$2,0,0,ROW()-1,60),ROW()-1,FALSE))</f>
        <v/>
      </c>
      <c r="AT105" t="str">
        <f ca="1">IF(AND(ISNUMBER($AT$302),$B$185=1),$AT$302,HLOOKUP(INDIRECT(ADDRESS(2,COLUMN())),OFFSET($BN$2,0,0,ROW()-1,60),ROW()-1,FALSE))</f>
        <v/>
      </c>
      <c r="AU105" t="str">
        <f ca="1">IF(AND(ISNUMBER($AU$302),$B$185=1),$AU$302,HLOOKUP(INDIRECT(ADDRESS(2,COLUMN())),OFFSET($BN$2,0,0,ROW()-1,60),ROW()-1,FALSE))</f>
        <v/>
      </c>
      <c r="AV105" t="str">
        <f ca="1">IF(AND(ISNUMBER($AV$302),$B$185=1),$AV$302,HLOOKUP(INDIRECT(ADDRESS(2,COLUMN())),OFFSET($BN$2,0,0,ROW()-1,60),ROW()-1,FALSE))</f>
        <v/>
      </c>
      <c r="AW105" t="str">
        <f ca="1">IF(AND(ISNUMBER($AW$302),$B$185=1),$AW$302,HLOOKUP(INDIRECT(ADDRESS(2,COLUMN())),OFFSET($BN$2,0,0,ROW()-1,60),ROW()-1,FALSE))</f>
        <v/>
      </c>
      <c r="AX105" t="str">
        <f ca="1">IF(AND(ISNUMBER($AX$302),$B$185=1),$AX$302,HLOOKUP(INDIRECT(ADDRESS(2,COLUMN())),OFFSET($BN$2,0,0,ROW()-1,60),ROW()-1,FALSE))</f>
        <v/>
      </c>
      <c r="AY105" t="str">
        <f ca="1">IF(AND(ISNUMBER($AY$302),$B$185=1),$AY$302,HLOOKUP(INDIRECT(ADDRESS(2,COLUMN())),OFFSET($BN$2,0,0,ROW()-1,60),ROW()-1,FALSE))</f>
        <v/>
      </c>
      <c r="AZ105" t="str">
        <f ca="1">IF(AND(ISNUMBER($AZ$302),$B$185=1),$AZ$302,HLOOKUP(INDIRECT(ADDRESS(2,COLUMN())),OFFSET($BN$2,0,0,ROW()-1,60),ROW()-1,FALSE))</f>
        <v/>
      </c>
      <c r="BA105" t="str">
        <f ca="1">IF(AND(ISNUMBER($BA$302),$B$185=1),$BA$302,HLOOKUP(INDIRECT(ADDRESS(2,COLUMN())),OFFSET($BN$2,0,0,ROW()-1,60),ROW()-1,FALSE))</f>
        <v/>
      </c>
      <c r="BB105" t="str">
        <f ca="1">IF(AND(ISNUMBER($BB$302),$B$185=1),$BB$302,HLOOKUP(INDIRECT(ADDRESS(2,COLUMN())),OFFSET($BN$2,0,0,ROW()-1,60),ROW()-1,FALSE))</f>
        <v/>
      </c>
      <c r="BC105" t="str">
        <f ca="1">IF(AND(ISNUMBER($BC$302),$B$185=1),$BC$302,HLOOKUP(INDIRECT(ADDRESS(2,COLUMN())),OFFSET($BN$2,0,0,ROW()-1,60),ROW()-1,FALSE))</f>
        <v/>
      </c>
      <c r="BD105" t="str">
        <f ca="1">IF(AND(ISNUMBER($BD$302),$B$185=1),$BD$302,HLOOKUP(INDIRECT(ADDRESS(2,COLUMN())),OFFSET($BN$2,0,0,ROW()-1,60),ROW()-1,FALSE))</f>
        <v/>
      </c>
      <c r="BE105" t="str">
        <f ca="1">IF(AND(ISNUMBER($BE$302),$B$185=1),$BE$302,HLOOKUP(INDIRECT(ADDRESS(2,COLUMN())),OFFSET($BN$2,0,0,ROW()-1,60),ROW()-1,FALSE))</f>
        <v/>
      </c>
      <c r="BF105" t="str">
        <f ca="1">IF(AND(ISNUMBER($BF$302),$B$185=1),$BF$302,HLOOKUP(INDIRECT(ADDRESS(2,COLUMN())),OFFSET($BN$2,0,0,ROW()-1,60),ROW()-1,FALSE))</f>
        <v/>
      </c>
      <c r="BG105" t="str">
        <f ca="1">IF(AND(ISNUMBER($BG$302),$B$185=1),$BG$302,HLOOKUP(INDIRECT(ADDRESS(2,COLUMN())),OFFSET($BN$2,0,0,ROW()-1,60),ROW()-1,FALSE))</f>
        <v/>
      </c>
      <c r="BH105" t="str">
        <f ca="1">IF(AND(ISNUMBER($BH$302),$B$185=1),$BH$302,HLOOKUP(INDIRECT(ADDRESS(2,COLUMN())),OFFSET($BN$2,0,0,ROW()-1,60),ROW()-1,FALSE))</f>
        <v/>
      </c>
      <c r="BI105" t="str">
        <f ca="1">IF(AND(ISNUMBER($BI$302),$B$185=1),$BI$302,HLOOKUP(INDIRECT(ADDRESS(2,COLUMN())),OFFSET($BN$2,0,0,ROW()-1,60),ROW()-1,FALSE))</f>
        <v/>
      </c>
      <c r="BJ105" t="str">
        <f ca="1">IF(AND(ISNUMBER($BJ$302),$B$185=1),$BJ$302,HLOOKUP(INDIRECT(ADDRESS(2,COLUMN())),OFFSET($BN$2,0,0,ROW()-1,60),ROW()-1,FALSE))</f>
        <v/>
      </c>
      <c r="BK105" t="str">
        <f ca="1">IF(AND(ISNUMBER($BK$302),$B$185=1),$BK$302,HLOOKUP(INDIRECT(ADDRESS(2,COLUMN())),OFFSET($BN$2,0,0,ROW()-1,60),ROW()-1,FALSE))</f>
        <v/>
      </c>
      <c r="BL105" t="str">
        <f ca="1">IF(AND(ISNUMBER($BL$302),$B$185=1),$BL$302,HLOOKUP(INDIRECT(ADDRESS(2,COLUMN())),OFFSET($BN$2,0,0,ROW()-1,60),ROW()-1,FALSE))</f>
        <v/>
      </c>
      <c r="BM105" t="str">
        <f ca="1">IF(AND(ISNUMBER($BM$302),$B$185=1),$BM$302,HLOOKUP(INDIRECT(ADDRESS(2,COLUMN())),OFFSET($BN$2,0,0,ROW()-1,60),ROW()-1,FALSE))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  <c r="BT105" t="str">
        <f>""</f>
        <v/>
      </c>
      <c r="BU105" t="str">
        <f>""</f>
        <v/>
      </c>
      <c r="BV105" t="str">
        <f>""</f>
        <v/>
      </c>
      <c r="BW105" t="str">
        <f>""</f>
        <v/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  <c r="CH105" t="str">
        <f>""</f>
        <v/>
      </c>
      <c r="CI105" t="str">
        <f>""</f>
        <v/>
      </c>
      <c r="CJ105" t="str">
        <f>""</f>
        <v/>
      </c>
      <c r="CK105" t="str">
        <f>""</f>
        <v/>
      </c>
      <c r="CL105" t="str">
        <f>""</f>
        <v/>
      </c>
      <c r="CM105" t="str">
        <f>""</f>
        <v/>
      </c>
      <c r="CN105" t="str">
        <f>""</f>
        <v/>
      </c>
      <c r="CO105" t="str">
        <f>""</f>
        <v/>
      </c>
      <c r="CP105" t="str">
        <f>""</f>
        <v/>
      </c>
      <c r="CQ105" t="str">
        <f>""</f>
        <v/>
      </c>
      <c r="CR105" t="str">
        <f>""</f>
        <v/>
      </c>
      <c r="CS105" t="str">
        <f>""</f>
        <v/>
      </c>
      <c r="CT105" t="str">
        <f>""</f>
        <v/>
      </c>
      <c r="CU105" t="str">
        <f>""</f>
        <v/>
      </c>
      <c r="CV105" t="str">
        <f>""</f>
        <v/>
      </c>
      <c r="CW105" t="str">
        <f>""</f>
        <v/>
      </c>
      <c r="CX105" t="str">
        <f>""</f>
        <v/>
      </c>
      <c r="CY105" t="str">
        <f>""</f>
        <v/>
      </c>
      <c r="CZ105" t="str">
        <f>""</f>
        <v/>
      </c>
      <c r="DA105" t="str">
        <f>""</f>
        <v/>
      </c>
      <c r="DB105" t="str">
        <f>""</f>
        <v/>
      </c>
      <c r="DC105" t="str">
        <f>""</f>
        <v/>
      </c>
      <c r="DD105" t="str">
        <f>""</f>
        <v/>
      </c>
      <c r="DE105" t="str">
        <f>""</f>
        <v/>
      </c>
      <c r="DF105" t="str">
        <f>""</f>
        <v/>
      </c>
      <c r="DG105" t="str">
        <f>""</f>
        <v/>
      </c>
      <c r="DH105" t="str">
        <f>""</f>
        <v/>
      </c>
      <c r="DI105" t="str">
        <f>""</f>
        <v/>
      </c>
      <c r="DJ105" t="str">
        <f>""</f>
        <v/>
      </c>
      <c r="DK105" t="str">
        <f>""</f>
        <v/>
      </c>
      <c r="DL105" t="str">
        <f>""</f>
        <v/>
      </c>
      <c r="DM105" t="str">
        <f>""</f>
        <v/>
      </c>
      <c r="DN105" t="str">
        <f>""</f>
        <v/>
      </c>
      <c r="DO105" t="str">
        <f>""</f>
        <v/>
      </c>
      <c r="DP105" t="str">
        <f>""</f>
        <v/>
      </c>
      <c r="DQ105" t="str">
        <f>""</f>
        <v/>
      </c>
      <c r="DR105" t="str">
        <f>""</f>
        <v/>
      </c>
      <c r="DS105" t="str">
        <f>""</f>
        <v/>
      </c>
      <c r="DT105" t="str">
        <f>""</f>
        <v/>
      </c>
      <c r="DU105" t="str">
        <f>""</f>
        <v/>
      </c>
    </row>
    <row r="106" spans="1:125">
      <c r="A106" t="str">
        <f>"    Citizens Financial Group Inc"</f>
        <v xml:space="preserve">    Citizens Financial Group Inc</v>
      </c>
      <c r="B106" t="str">
        <f>"CFG US Equity"</f>
        <v>CFG US Equity</v>
      </c>
      <c r="C106" t="str">
        <f t="shared" si="13"/>
        <v>BS960</v>
      </c>
      <c r="D106" t="str">
        <f t="shared" si="14"/>
        <v>BS_RESIDENT_MTG_SERVICED_OTHERS</v>
      </c>
      <c r="E106" t="str">
        <f t="shared" si="15"/>
        <v>Dynamic</v>
      </c>
      <c r="F106" t="str">
        <f ca="1">IF(AND(ISNUMBER($F$303),$B$185=1),$F$303,HLOOKUP(INDIRECT(ADDRESS(2,COLUMN())),OFFSET($BN$2,0,0,ROW()-1,60),ROW()-1,FALSE))</f>
        <v/>
      </c>
      <c r="G106" t="str">
        <f ca="1">IF(AND(ISNUMBER($G$303),$B$185=1),$G$303,HLOOKUP(INDIRECT(ADDRESS(2,COLUMN())),OFFSET($BN$2,0,0,ROW()-1,60),ROW()-1,FALSE))</f>
        <v/>
      </c>
      <c r="H106" t="str">
        <f ca="1">IF(AND(ISNUMBER($H$303),$B$185=1),$H$303,HLOOKUP(INDIRECT(ADDRESS(2,COLUMN())),OFFSET($BN$2,0,0,ROW()-1,60),ROW()-1,FALSE))</f>
        <v/>
      </c>
      <c r="I106" t="str">
        <f ca="1">IF(AND(ISNUMBER($I$303),$B$185=1),$I$303,HLOOKUP(INDIRECT(ADDRESS(2,COLUMN())),OFFSET($BN$2,0,0,ROW()-1,60),ROW()-1,FALSE))</f>
        <v/>
      </c>
      <c r="J106" t="str">
        <f ca="1">IF(AND(ISNUMBER($J$303),$B$185=1),$J$303,HLOOKUP(INDIRECT(ADDRESS(2,COLUMN())),OFFSET($BN$2,0,0,ROW()-1,60),ROW()-1,FALSE))</f>
        <v/>
      </c>
      <c r="K106" t="str">
        <f ca="1">IF(AND(ISNUMBER($K$303),$B$185=1),$K$303,HLOOKUP(INDIRECT(ADDRESS(2,COLUMN())),OFFSET($BN$2,0,0,ROW()-1,60),ROW()-1,FALSE))</f>
        <v/>
      </c>
      <c r="L106" t="str">
        <f ca="1">IF(AND(ISNUMBER($L$303),$B$185=1),$L$303,HLOOKUP(INDIRECT(ADDRESS(2,COLUMN())),OFFSET($BN$2,0,0,ROW()-1,60),ROW()-1,FALSE))</f>
        <v/>
      </c>
      <c r="M106" t="str">
        <f ca="1">IF(AND(ISNUMBER($M$303),$B$185=1),$M$303,HLOOKUP(INDIRECT(ADDRESS(2,COLUMN())),OFFSET($BN$2,0,0,ROW()-1,60),ROW()-1,FALSE))</f>
        <v/>
      </c>
      <c r="N106" t="str">
        <f ca="1">IF(AND(ISNUMBER($N$303),$B$185=1),$N$303,HLOOKUP(INDIRECT(ADDRESS(2,COLUMN())),OFFSET($BN$2,0,0,ROW()-1,60),ROW()-1,FALSE))</f>
        <v/>
      </c>
      <c r="O106" t="str">
        <f ca="1">IF(AND(ISNUMBER($O$303),$B$185=1),$O$303,HLOOKUP(INDIRECT(ADDRESS(2,COLUMN())),OFFSET($BN$2,0,0,ROW()-1,60),ROW()-1,FALSE))</f>
        <v/>
      </c>
      <c r="P106" t="str">
        <f ca="1">IF(AND(ISNUMBER($P$303),$B$185=1),$P$303,HLOOKUP(INDIRECT(ADDRESS(2,COLUMN())),OFFSET($BN$2,0,0,ROW()-1,60),ROW()-1,FALSE))</f>
        <v/>
      </c>
      <c r="Q106" t="str">
        <f ca="1">IF(AND(ISNUMBER($Q$303),$B$185=1),$Q$303,HLOOKUP(INDIRECT(ADDRESS(2,COLUMN())),OFFSET($BN$2,0,0,ROW()-1,60),ROW()-1,FALSE))</f>
        <v/>
      </c>
      <c r="R106" t="str">
        <f ca="1">IF(AND(ISNUMBER($R$303),$B$185=1),$R$303,HLOOKUP(INDIRECT(ADDRESS(2,COLUMN())),OFFSET($BN$2,0,0,ROW()-1,60),ROW()-1,FALSE))</f>
        <v/>
      </c>
      <c r="S106" t="str">
        <f ca="1">IF(AND(ISNUMBER($S$303),$B$185=1),$S$303,HLOOKUP(INDIRECT(ADDRESS(2,COLUMN())),OFFSET($BN$2,0,0,ROW()-1,60),ROW()-1,FALSE))</f>
        <v/>
      </c>
      <c r="T106" t="str">
        <f ca="1">IF(AND(ISNUMBER($T$303),$B$185=1),$T$303,HLOOKUP(INDIRECT(ADDRESS(2,COLUMN())),OFFSET($BN$2,0,0,ROW()-1,60),ROW()-1,FALSE))</f>
        <v/>
      </c>
      <c r="U106" t="str">
        <f ca="1">IF(AND(ISNUMBER($U$303),$B$185=1),$U$303,HLOOKUP(INDIRECT(ADDRESS(2,COLUMN())),OFFSET($BN$2,0,0,ROW()-1,60),ROW()-1,FALSE))</f>
        <v/>
      </c>
      <c r="V106" t="str">
        <f ca="1">IF(AND(ISNUMBER($V$303),$B$185=1),$V$303,HLOOKUP(INDIRECT(ADDRESS(2,COLUMN())),OFFSET($BN$2,0,0,ROW()-1,60),ROW()-1,FALSE))</f>
        <v/>
      </c>
      <c r="W106" t="str">
        <f ca="1">IF(AND(ISNUMBER($W$303),$B$185=1),$W$303,HLOOKUP(INDIRECT(ADDRESS(2,COLUMN())),OFFSET($BN$2,0,0,ROW()-1,60),ROW()-1,FALSE))</f>
        <v/>
      </c>
      <c r="X106" t="str">
        <f ca="1">IF(AND(ISNUMBER($X$303),$B$185=1),$X$303,HLOOKUP(INDIRECT(ADDRESS(2,COLUMN())),OFFSET($BN$2,0,0,ROW()-1,60),ROW()-1,FALSE))</f>
        <v/>
      </c>
      <c r="Y106" t="str">
        <f ca="1">IF(AND(ISNUMBER($Y$303),$B$185=1),$Y$303,HLOOKUP(INDIRECT(ADDRESS(2,COLUMN())),OFFSET($BN$2,0,0,ROW()-1,60),ROW()-1,FALSE))</f>
        <v/>
      </c>
      <c r="Z106" t="str">
        <f ca="1">IF(AND(ISNUMBER($Z$303),$B$185=1),$Z$303,HLOOKUP(INDIRECT(ADDRESS(2,COLUMN())),OFFSET($BN$2,0,0,ROW()-1,60),ROW()-1,FALSE))</f>
        <v/>
      </c>
      <c r="AA106" t="str">
        <f ca="1">IF(AND(ISNUMBER($AA$303),$B$185=1),$AA$303,HLOOKUP(INDIRECT(ADDRESS(2,COLUMN())),OFFSET($BN$2,0,0,ROW()-1,60),ROW()-1,FALSE))</f>
        <v/>
      </c>
      <c r="AB106" t="str">
        <f ca="1">IF(AND(ISNUMBER($AB$303),$B$185=1),$AB$303,HLOOKUP(INDIRECT(ADDRESS(2,COLUMN())),OFFSET($BN$2,0,0,ROW()-1,60),ROW()-1,FALSE))</f>
        <v/>
      </c>
      <c r="AC106" t="str">
        <f ca="1">IF(AND(ISNUMBER($AC$303),$B$185=1),$AC$303,HLOOKUP(INDIRECT(ADDRESS(2,COLUMN())),OFFSET($BN$2,0,0,ROW()-1,60),ROW()-1,FALSE))</f>
        <v/>
      </c>
      <c r="AD106" t="str">
        <f ca="1">IF(AND(ISNUMBER($AD$303),$B$185=1),$AD$303,HLOOKUP(INDIRECT(ADDRESS(2,COLUMN())),OFFSET($BN$2,0,0,ROW()-1,60),ROW()-1,FALSE))</f>
        <v/>
      </c>
      <c r="AE106" t="str">
        <f ca="1">IF(AND(ISNUMBER($AE$303),$B$185=1),$AE$303,HLOOKUP(INDIRECT(ADDRESS(2,COLUMN())),OFFSET($BN$2,0,0,ROW()-1,60),ROW()-1,FALSE))</f>
        <v/>
      </c>
      <c r="AF106" t="str">
        <f ca="1">IF(AND(ISNUMBER($AF$303),$B$185=1),$AF$303,HLOOKUP(INDIRECT(ADDRESS(2,COLUMN())),OFFSET($BN$2,0,0,ROW()-1,60),ROW()-1,FALSE))</f>
        <v/>
      </c>
      <c r="AG106" t="str">
        <f ca="1">IF(AND(ISNUMBER($AG$303),$B$185=1),$AG$303,HLOOKUP(INDIRECT(ADDRESS(2,COLUMN())),OFFSET($BN$2,0,0,ROW()-1,60),ROW()-1,FALSE))</f>
        <v/>
      </c>
      <c r="AH106" t="str">
        <f ca="1">IF(AND(ISNUMBER($AH$303),$B$185=1),$AH$303,HLOOKUP(INDIRECT(ADDRESS(2,COLUMN())),OFFSET($BN$2,0,0,ROW()-1,60),ROW()-1,FALSE))</f>
        <v/>
      </c>
      <c r="AI106" t="str">
        <f ca="1">IF(AND(ISNUMBER($AI$303),$B$185=1),$AI$303,HLOOKUP(INDIRECT(ADDRESS(2,COLUMN())),OFFSET($BN$2,0,0,ROW()-1,60),ROW()-1,FALSE))</f>
        <v/>
      </c>
      <c r="AJ106" t="str">
        <f ca="1">IF(AND(ISNUMBER($AJ$303),$B$185=1),$AJ$303,HLOOKUP(INDIRECT(ADDRESS(2,COLUMN())),OFFSET($BN$2,0,0,ROW()-1,60),ROW()-1,FALSE))</f>
        <v/>
      </c>
      <c r="AK106" t="str">
        <f ca="1">IF(AND(ISNUMBER($AK$303),$B$185=1),$AK$303,HLOOKUP(INDIRECT(ADDRESS(2,COLUMN())),OFFSET($BN$2,0,0,ROW()-1,60),ROW()-1,FALSE))</f>
        <v/>
      </c>
      <c r="AL106" t="str">
        <f ca="1">IF(AND(ISNUMBER($AL$303),$B$185=1),$AL$303,HLOOKUP(INDIRECT(ADDRESS(2,COLUMN())),OFFSET($BN$2,0,0,ROW()-1,60),ROW()-1,FALSE))</f>
        <v/>
      </c>
      <c r="AM106" t="str">
        <f ca="1">IF(AND(ISNUMBER($AM$303),$B$185=1),$AM$303,HLOOKUP(INDIRECT(ADDRESS(2,COLUMN())),OFFSET($BN$2,0,0,ROW()-1,60),ROW()-1,FALSE))</f>
        <v/>
      </c>
      <c r="AN106" t="str">
        <f ca="1">IF(AND(ISNUMBER($AN$303),$B$185=1),$AN$303,HLOOKUP(INDIRECT(ADDRESS(2,COLUMN())),OFFSET($BN$2,0,0,ROW()-1,60),ROW()-1,FALSE))</f>
        <v/>
      </c>
      <c r="AO106" t="str">
        <f ca="1">IF(AND(ISNUMBER($AO$303),$B$185=1),$AO$303,HLOOKUP(INDIRECT(ADDRESS(2,COLUMN())),OFFSET($BN$2,0,0,ROW()-1,60),ROW()-1,FALSE))</f>
        <v/>
      </c>
      <c r="AP106" t="str">
        <f ca="1">IF(AND(ISNUMBER($AP$303),$B$185=1),$AP$303,HLOOKUP(INDIRECT(ADDRESS(2,COLUMN())),OFFSET($BN$2,0,0,ROW()-1,60),ROW()-1,FALSE))</f>
        <v/>
      </c>
      <c r="AQ106" t="str">
        <f ca="1">IF(AND(ISNUMBER($AQ$303),$B$185=1),$AQ$303,HLOOKUP(INDIRECT(ADDRESS(2,COLUMN())),OFFSET($BN$2,0,0,ROW()-1,60),ROW()-1,FALSE))</f>
        <v/>
      </c>
      <c r="AR106" t="str">
        <f ca="1">IF(AND(ISNUMBER($AR$303),$B$185=1),$AR$303,HLOOKUP(INDIRECT(ADDRESS(2,COLUMN())),OFFSET($BN$2,0,0,ROW()-1,60),ROW()-1,FALSE))</f>
        <v/>
      </c>
      <c r="AS106" t="str">
        <f ca="1">IF(AND(ISNUMBER($AS$303),$B$185=1),$AS$303,HLOOKUP(INDIRECT(ADDRESS(2,COLUMN())),OFFSET($BN$2,0,0,ROW()-1,60),ROW()-1,FALSE))</f>
        <v/>
      </c>
      <c r="AT106" t="str">
        <f ca="1">IF(AND(ISNUMBER($AT$303),$B$185=1),$AT$303,HLOOKUP(INDIRECT(ADDRESS(2,COLUMN())),OFFSET($BN$2,0,0,ROW()-1,60),ROW()-1,FALSE))</f>
        <v/>
      </c>
      <c r="AU106" t="str">
        <f ca="1">IF(AND(ISNUMBER($AU$303),$B$185=1),$AU$303,HLOOKUP(INDIRECT(ADDRESS(2,COLUMN())),OFFSET($BN$2,0,0,ROW()-1,60),ROW()-1,FALSE))</f>
        <v/>
      </c>
      <c r="AV106" t="str">
        <f ca="1">IF(AND(ISNUMBER($AV$303),$B$185=1),$AV$303,HLOOKUP(INDIRECT(ADDRESS(2,COLUMN())),OFFSET($BN$2,0,0,ROW()-1,60),ROW()-1,FALSE))</f>
        <v/>
      </c>
      <c r="AW106" t="str">
        <f ca="1">IF(AND(ISNUMBER($AW$303),$B$185=1),$AW$303,HLOOKUP(INDIRECT(ADDRESS(2,COLUMN())),OFFSET($BN$2,0,0,ROW()-1,60),ROW()-1,FALSE))</f>
        <v/>
      </c>
      <c r="AX106" t="str">
        <f ca="1">IF(AND(ISNUMBER($AX$303),$B$185=1),$AX$303,HLOOKUP(INDIRECT(ADDRESS(2,COLUMN())),OFFSET($BN$2,0,0,ROW()-1,60),ROW()-1,FALSE))</f>
        <v/>
      </c>
      <c r="AY106" t="str">
        <f ca="1">IF(AND(ISNUMBER($AY$303),$B$185=1),$AY$303,HLOOKUP(INDIRECT(ADDRESS(2,COLUMN())),OFFSET($BN$2,0,0,ROW()-1,60),ROW()-1,FALSE))</f>
        <v/>
      </c>
      <c r="AZ106" t="str">
        <f ca="1">IF(AND(ISNUMBER($AZ$303),$B$185=1),$AZ$303,HLOOKUP(INDIRECT(ADDRESS(2,COLUMN())),OFFSET($BN$2,0,0,ROW()-1,60),ROW()-1,FALSE))</f>
        <v/>
      </c>
      <c r="BA106" t="str">
        <f ca="1">IF(AND(ISNUMBER($BA$303),$B$185=1),$BA$303,HLOOKUP(INDIRECT(ADDRESS(2,COLUMN())),OFFSET($BN$2,0,0,ROW()-1,60),ROW()-1,FALSE))</f>
        <v/>
      </c>
      <c r="BB106" t="str">
        <f ca="1">IF(AND(ISNUMBER($BB$303),$B$185=1),$BB$303,HLOOKUP(INDIRECT(ADDRESS(2,COLUMN())),OFFSET($BN$2,0,0,ROW()-1,60),ROW()-1,FALSE))</f>
        <v/>
      </c>
      <c r="BC106" t="str">
        <f ca="1">IF(AND(ISNUMBER($BC$303),$B$185=1),$BC$303,HLOOKUP(INDIRECT(ADDRESS(2,COLUMN())),OFFSET($BN$2,0,0,ROW()-1,60),ROW()-1,FALSE))</f>
        <v/>
      </c>
      <c r="BD106" t="str">
        <f ca="1">IF(AND(ISNUMBER($BD$303),$B$185=1),$BD$303,HLOOKUP(INDIRECT(ADDRESS(2,COLUMN())),OFFSET($BN$2,0,0,ROW()-1,60),ROW()-1,FALSE))</f>
        <v/>
      </c>
      <c r="BE106" t="str">
        <f ca="1">IF(AND(ISNUMBER($BE$303),$B$185=1),$BE$303,HLOOKUP(INDIRECT(ADDRESS(2,COLUMN())),OFFSET($BN$2,0,0,ROW()-1,60),ROW()-1,FALSE))</f>
        <v/>
      </c>
      <c r="BF106" t="str">
        <f ca="1">IF(AND(ISNUMBER($BF$303),$B$185=1),$BF$303,HLOOKUP(INDIRECT(ADDRESS(2,COLUMN())),OFFSET($BN$2,0,0,ROW()-1,60),ROW()-1,FALSE))</f>
        <v/>
      </c>
      <c r="BG106" t="str">
        <f ca="1">IF(AND(ISNUMBER($BG$303),$B$185=1),$BG$303,HLOOKUP(INDIRECT(ADDRESS(2,COLUMN())),OFFSET($BN$2,0,0,ROW()-1,60),ROW()-1,FALSE))</f>
        <v/>
      </c>
      <c r="BH106" t="str">
        <f ca="1">IF(AND(ISNUMBER($BH$303),$B$185=1),$BH$303,HLOOKUP(INDIRECT(ADDRESS(2,COLUMN())),OFFSET($BN$2,0,0,ROW()-1,60),ROW()-1,FALSE))</f>
        <v/>
      </c>
      <c r="BI106" t="str">
        <f ca="1">IF(AND(ISNUMBER($BI$303),$B$185=1),$BI$303,HLOOKUP(INDIRECT(ADDRESS(2,COLUMN())),OFFSET($BN$2,0,0,ROW()-1,60),ROW()-1,FALSE))</f>
        <v/>
      </c>
      <c r="BJ106" t="str">
        <f ca="1">IF(AND(ISNUMBER($BJ$303),$B$185=1),$BJ$303,HLOOKUP(INDIRECT(ADDRESS(2,COLUMN())),OFFSET($BN$2,0,0,ROW()-1,60),ROW()-1,FALSE))</f>
        <v/>
      </c>
      <c r="BK106" t="str">
        <f ca="1">IF(AND(ISNUMBER($BK$303),$B$185=1),$BK$303,HLOOKUP(INDIRECT(ADDRESS(2,COLUMN())),OFFSET($BN$2,0,0,ROW()-1,60),ROW()-1,FALSE))</f>
        <v/>
      </c>
      <c r="BL106" t="str">
        <f ca="1">IF(AND(ISNUMBER($BL$303),$B$185=1),$BL$303,HLOOKUP(INDIRECT(ADDRESS(2,COLUMN())),OFFSET($BN$2,0,0,ROW()-1,60),ROW()-1,FALSE))</f>
        <v/>
      </c>
      <c r="BM106" t="str">
        <f ca="1">IF(AND(ISNUMBER($BM$303),$B$185=1),$BM$303,HLOOKUP(INDIRECT(ADDRESS(2,COLUMN())),OFFSET($BN$2,0,0,ROW()-1,60),ROW()-1,FALSE))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  <c r="BT106" t="str">
        <f>""</f>
        <v/>
      </c>
      <c r="BU106" t="str">
        <f>""</f>
        <v/>
      </c>
      <c r="BV106" t="str">
        <f>""</f>
        <v/>
      </c>
      <c r="BW106" t="str">
        <f>""</f>
        <v/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  <c r="CH106" t="str">
        <f>""</f>
        <v/>
      </c>
      <c r="CI106" t="str">
        <f>""</f>
        <v/>
      </c>
      <c r="CJ106" t="str">
        <f>""</f>
        <v/>
      </c>
      <c r="CK106" t="str">
        <f>""</f>
        <v/>
      </c>
      <c r="CL106" t="str">
        <f>""</f>
        <v/>
      </c>
      <c r="CM106" t="str">
        <f>""</f>
        <v/>
      </c>
      <c r="CN106" t="str">
        <f>""</f>
        <v/>
      </c>
      <c r="CO106" t="str">
        <f>""</f>
        <v/>
      </c>
      <c r="CP106" t="str">
        <f>""</f>
        <v/>
      </c>
      <c r="CQ106" t="str">
        <f>""</f>
        <v/>
      </c>
      <c r="CR106" t="str">
        <f>""</f>
        <v/>
      </c>
      <c r="CS106" t="str">
        <f>""</f>
        <v/>
      </c>
      <c r="CT106" t="str">
        <f>""</f>
        <v/>
      </c>
      <c r="CU106" t="str">
        <f>""</f>
        <v/>
      </c>
      <c r="CV106" t="str">
        <f>""</f>
        <v/>
      </c>
      <c r="CW106" t="str">
        <f>""</f>
        <v/>
      </c>
      <c r="CX106" t="str">
        <f>""</f>
        <v/>
      </c>
      <c r="CY106" t="str">
        <f>""</f>
        <v/>
      </c>
      <c r="CZ106" t="str">
        <f>""</f>
        <v/>
      </c>
      <c r="DA106" t="str">
        <f>""</f>
        <v/>
      </c>
      <c r="DB106" t="str">
        <f>""</f>
        <v/>
      </c>
      <c r="DC106" t="str">
        <f>""</f>
        <v/>
      </c>
      <c r="DD106" t="str">
        <f>""</f>
        <v/>
      </c>
      <c r="DE106" t="str">
        <f>""</f>
        <v/>
      </c>
      <c r="DF106" t="str">
        <f>""</f>
        <v/>
      </c>
      <c r="DG106" t="str">
        <f>""</f>
        <v/>
      </c>
      <c r="DH106" t="str">
        <f>""</f>
        <v/>
      </c>
      <c r="DI106" t="str">
        <f>""</f>
        <v/>
      </c>
      <c r="DJ106" t="str">
        <f>""</f>
        <v/>
      </c>
      <c r="DK106" t="str">
        <f>""</f>
        <v/>
      </c>
      <c r="DL106" t="str">
        <f>""</f>
        <v/>
      </c>
      <c r="DM106" t="str">
        <f>""</f>
        <v/>
      </c>
      <c r="DN106" t="str">
        <f>""</f>
        <v/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>
      <c r="A107" t="str">
        <f>"    Comerica Inc"</f>
        <v xml:space="preserve">    Comerica Inc</v>
      </c>
      <c r="B107" t="str">
        <f>"CMA US Equity"</f>
        <v>CMA US Equity</v>
      </c>
      <c r="C107" t="str">
        <f t="shared" si="13"/>
        <v>BS960</v>
      </c>
      <c r="D107" t="str">
        <f t="shared" si="14"/>
        <v>BS_RESIDENT_MTG_SERVICED_OTHERS</v>
      </c>
      <c r="E107" t="str">
        <f t="shared" si="15"/>
        <v>Dynamic</v>
      </c>
      <c r="F107" t="str">
        <f ca="1">IF(AND(ISNUMBER($F$304),$B$185=1),$F$304,HLOOKUP(INDIRECT(ADDRESS(2,COLUMN())),OFFSET($BN$2,0,0,ROW()-1,60),ROW()-1,FALSE))</f>
        <v/>
      </c>
      <c r="G107" t="str">
        <f ca="1">IF(AND(ISNUMBER($G$304),$B$185=1),$G$304,HLOOKUP(INDIRECT(ADDRESS(2,COLUMN())),OFFSET($BN$2,0,0,ROW()-1,60),ROW()-1,FALSE))</f>
        <v/>
      </c>
      <c r="H107" t="str">
        <f ca="1">IF(AND(ISNUMBER($H$304),$B$185=1),$H$304,HLOOKUP(INDIRECT(ADDRESS(2,COLUMN())),OFFSET($BN$2,0,0,ROW()-1,60),ROW()-1,FALSE))</f>
        <v/>
      </c>
      <c r="I107" t="str">
        <f ca="1">IF(AND(ISNUMBER($I$304),$B$185=1),$I$304,HLOOKUP(INDIRECT(ADDRESS(2,COLUMN())),OFFSET($BN$2,0,0,ROW()-1,60),ROW()-1,FALSE))</f>
        <v/>
      </c>
      <c r="J107" t="str">
        <f ca="1">IF(AND(ISNUMBER($J$304),$B$185=1),$J$304,HLOOKUP(INDIRECT(ADDRESS(2,COLUMN())),OFFSET($BN$2,0,0,ROW()-1,60),ROW()-1,FALSE))</f>
        <v/>
      </c>
      <c r="K107" t="str">
        <f ca="1">IF(AND(ISNUMBER($K$304),$B$185=1),$K$304,HLOOKUP(INDIRECT(ADDRESS(2,COLUMN())),OFFSET($BN$2,0,0,ROW()-1,60),ROW()-1,FALSE))</f>
        <v/>
      </c>
      <c r="L107" t="str">
        <f ca="1">IF(AND(ISNUMBER($L$304),$B$185=1),$L$304,HLOOKUP(INDIRECT(ADDRESS(2,COLUMN())),OFFSET($BN$2,0,0,ROW()-1,60),ROW()-1,FALSE))</f>
        <v/>
      </c>
      <c r="M107" t="str">
        <f ca="1">IF(AND(ISNUMBER($M$304),$B$185=1),$M$304,HLOOKUP(INDIRECT(ADDRESS(2,COLUMN())),OFFSET($BN$2,0,0,ROW()-1,60),ROW()-1,FALSE))</f>
        <v/>
      </c>
      <c r="N107" t="str">
        <f ca="1">IF(AND(ISNUMBER($N$304),$B$185=1),$N$304,HLOOKUP(INDIRECT(ADDRESS(2,COLUMN())),OFFSET($BN$2,0,0,ROW()-1,60),ROW()-1,FALSE))</f>
        <v/>
      </c>
      <c r="O107" t="str">
        <f ca="1">IF(AND(ISNUMBER($O$304),$B$185=1),$O$304,HLOOKUP(INDIRECT(ADDRESS(2,COLUMN())),OFFSET($BN$2,0,0,ROW()-1,60),ROW()-1,FALSE))</f>
        <v/>
      </c>
      <c r="P107" t="str">
        <f ca="1">IF(AND(ISNUMBER($P$304),$B$185=1),$P$304,HLOOKUP(INDIRECT(ADDRESS(2,COLUMN())),OFFSET($BN$2,0,0,ROW()-1,60),ROW()-1,FALSE))</f>
        <v/>
      </c>
      <c r="Q107" t="str">
        <f ca="1">IF(AND(ISNUMBER($Q$304),$B$185=1),$Q$304,HLOOKUP(INDIRECT(ADDRESS(2,COLUMN())),OFFSET($BN$2,0,0,ROW()-1,60),ROW()-1,FALSE))</f>
        <v/>
      </c>
      <c r="R107" t="str">
        <f ca="1">IF(AND(ISNUMBER($R$304),$B$185=1),$R$304,HLOOKUP(INDIRECT(ADDRESS(2,COLUMN())),OFFSET($BN$2,0,0,ROW()-1,60),ROW()-1,FALSE))</f>
        <v/>
      </c>
      <c r="S107" t="str">
        <f ca="1">IF(AND(ISNUMBER($S$304),$B$185=1),$S$304,HLOOKUP(INDIRECT(ADDRESS(2,COLUMN())),OFFSET($BN$2,0,0,ROW()-1,60),ROW()-1,FALSE))</f>
        <v/>
      </c>
      <c r="T107" t="str">
        <f ca="1">IF(AND(ISNUMBER($T$304),$B$185=1),$T$304,HLOOKUP(INDIRECT(ADDRESS(2,COLUMN())),OFFSET($BN$2,0,0,ROW()-1,60),ROW()-1,FALSE))</f>
        <v/>
      </c>
      <c r="U107" t="str">
        <f ca="1">IF(AND(ISNUMBER($U$304),$B$185=1),$U$304,HLOOKUP(INDIRECT(ADDRESS(2,COLUMN())),OFFSET($BN$2,0,0,ROW()-1,60),ROW()-1,FALSE))</f>
        <v/>
      </c>
      <c r="V107" t="str">
        <f ca="1">IF(AND(ISNUMBER($V$304),$B$185=1),$V$304,HLOOKUP(INDIRECT(ADDRESS(2,COLUMN())),OFFSET($BN$2,0,0,ROW()-1,60),ROW()-1,FALSE))</f>
        <v/>
      </c>
      <c r="W107" t="str">
        <f ca="1">IF(AND(ISNUMBER($W$304),$B$185=1),$W$304,HLOOKUP(INDIRECT(ADDRESS(2,COLUMN())),OFFSET($BN$2,0,0,ROW()-1,60),ROW()-1,FALSE))</f>
        <v/>
      </c>
      <c r="X107" t="str">
        <f ca="1">IF(AND(ISNUMBER($X$304),$B$185=1),$X$304,HLOOKUP(INDIRECT(ADDRESS(2,COLUMN())),OFFSET($BN$2,0,0,ROW()-1,60),ROW()-1,FALSE))</f>
        <v/>
      </c>
      <c r="Y107" t="str">
        <f ca="1">IF(AND(ISNUMBER($Y$304),$B$185=1),$Y$304,HLOOKUP(INDIRECT(ADDRESS(2,COLUMN())),OFFSET($BN$2,0,0,ROW()-1,60),ROW()-1,FALSE))</f>
        <v/>
      </c>
      <c r="Z107" t="str">
        <f ca="1">IF(AND(ISNUMBER($Z$304),$B$185=1),$Z$304,HLOOKUP(INDIRECT(ADDRESS(2,COLUMN())),OFFSET($BN$2,0,0,ROW()-1,60),ROW()-1,FALSE))</f>
        <v/>
      </c>
      <c r="AA107" t="str">
        <f ca="1">IF(AND(ISNUMBER($AA$304),$B$185=1),$AA$304,HLOOKUP(INDIRECT(ADDRESS(2,COLUMN())),OFFSET($BN$2,0,0,ROW()-1,60),ROW()-1,FALSE))</f>
        <v/>
      </c>
      <c r="AB107" t="str">
        <f ca="1">IF(AND(ISNUMBER($AB$304),$B$185=1),$AB$304,HLOOKUP(INDIRECT(ADDRESS(2,COLUMN())),OFFSET($BN$2,0,0,ROW()-1,60),ROW()-1,FALSE))</f>
        <v/>
      </c>
      <c r="AC107" t="str">
        <f ca="1">IF(AND(ISNUMBER($AC$304),$B$185=1),$AC$304,HLOOKUP(INDIRECT(ADDRESS(2,COLUMN())),OFFSET($BN$2,0,0,ROW()-1,60),ROW()-1,FALSE))</f>
        <v/>
      </c>
      <c r="AD107" t="str">
        <f ca="1">IF(AND(ISNUMBER($AD$304),$B$185=1),$AD$304,HLOOKUP(INDIRECT(ADDRESS(2,COLUMN())),OFFSET($BN$2,0,0,ROW()-1,60),ROW()-1,FALSE))</f>
        <v/>
      </c>
      <c r="AE107" t="str">
        <f ca="1">IF(AND(ISNUMBER($AE$304),$B$185=1),$AE$304,HLOOKUP(INDIRECT(ADDRESS(2,COLUMN())),OFFSET($BN$2,0,0,ROW()-1,60),ROW()-1,FALSE))</f>
        <v/>
      </c>
      <c r="AF107" t="str">
        <f ca="1">IF(AND(ISNUMBER($AF$304),$B$185=1),$AF$304,HLOOKUP(INDIRECT(ADDRESS(2,COLUMN())),OFFSET($BN$2,0,0,ROW()-1,60),ROW()-1,FALSE))</f>
        <v/>
      </c>
      <c r="AG107" t="str">
        <f ca="1">IF(AND(ISNUMBER($AG$304),$B$185=1),$AG$304,HLOOKUP(INDIRECT(ADDRESS(2,COLUMN())),OFFSET($BN$2,0,0,ROW()-1,60),ROW()-1,FALSE))</f>
        <v/>
      </c>
      <c r="AH107" t="str">
        <f ca="1">IF(AND(ISNUMBER($AH$304),$B$185=1),$AH$304,HLOOKUP(INDIRECT(ADDRESS(2,COLUMN())),OFFSET($BN$2,0,0,ROW()-1,60),ROW()-1,FALSE))</f>
        <v/>
      </c>
      <c r="AI107" t="str">
        <f ca="1">IF(AND(ISNUMBER($AI$304),$B$185=1),$AI$304,HLOOKUP(INDIRECT(ADDRESS(2,COLUMN())),OFFSET($BN$2,0,0,ROW()-1,60),ROW()-1,FALSE))</f>
        <v/>
      </c>
      <c r="AJ107" t="str">
        <f ca="1">IF(AND(ISNUMBER($AJ$304),$B$185=1),$AJ$304,HLOOKUP(INDIRECT(ADDRESS(2,COLUMN())),OFFSET($BN$2,0,0,ROW()-1,60),ROW()-1,FALSE))</f>
        <v/>
      </c>
      <c r="AK107" t="str">
        <f ca="1">IF(AND(ISNUMBER($AK$304),$B$185=1),$AK$304,HLOOKUP(INDIRECT(ADDRESS(2,COLUMN())),OFFSET($BN$2,0,0,ROW()-1,60),ROW()-1,FALSE))</f>
        <v/>
      </c>
      <c r="AL107" t="str">
        <f ca="1">IF(AND(ISNUMBER($AL$304),$B$185=1),$AL$304,HLOOKUP(INDIRECT(ADDRESS(2,COLUMN())),OFFSET($BN$2,0,0,ROW()-1,60),ROW()-1,FALSE))</f>
        <v/>
      </c>
      <c r="AM107" t="str">
        <f ca="1">IF(AND(ISNUMBER($AM$304),$B$185=1),$AM$304,HLOOKUP(INDIRECT(ADDRESS(2,COLUMN())),OFFSET($BN$2,0,0,ROW()-1,60),ROW()-1,FALSE))</f>
        <v/>
      </c>
      <c r="AN107" t="str">
        <f ca="1">IF(AND(ISNUMBER($AN$304),$B$185=1),$AN$304,HLOOKUP(INDIRECT(ADDRESS(2,COLUMN())),OFFSET($BN$2,0,0,ROW()-1,60),ROW()-1,FALSE))</f>
        <v/>
      </c>
      <c r="AO107" t="str">
        <f ca="1">IF(AND(ISNUMBER($AO$304),$B$185=1),$AO$304,HLOOKUP(INDIRECT(ADDRESS(2,COLUMN())),OFFSET($BN$2,0,0,ROW()-1,60),ROW()-1,FALSE))</f>
        <v/>
      </c>
      <c r="AP107" t="str">
        <f ca="1">IF(AND(ISNUMBER($AP$304),$B$185=1),$AP$304,HLOOKUP(INDIRECT(ADDRESS(2,COLUMN())),OFFSET($BN$2,0,0,ROW()-1,60),ROW()-1,FALSE))</f>
        <v/>
      </c>
      <c r="AQ107" t="str">
        <f ca="1">IF(AND(ISNUMBER($AQ$304),$B$185=1),$AQ$304,HLOOKUP(INDIRECT(ADDRESS(2,COLUMN())),OFFSET($BN$2,0,0,ROW()-1,60),ROW()-1,FALSE))</f>
        <v/>
      </c>
      <c r="AR107" t="str">
        <f ca="1">IF(AND(ISNUMBER($AR$304),$B$185=1),$AR$304,HLOOKUP(INDIRECT(ADDRESS(2,COLUMN())),OFFSET($BN$2,0,0,ROW()-1,60),ROW()-1,FALSE))</f>
        <v/>
      </c>
      <c r="AS107" t="str">
        <f ca="1">IF(AND(ISNUMBER($AS$304),$B$185=1),$AS$304,HLOOKUP(INDIRECT(ADDRESS(2,COLUMN())),OFFSET($BN$2,0,0,ROW()-1,60),ROW()-1,FALSE))</f>
        <v/>
      </c>
      <c r="AT107" t="str">
        <f ca="1">IF(AND(ISNUMBER($AT$304),$B$185=1),$AT$304,HLOOKUP(INDIRECT(ADDRESS(2,COLUMN())),OFFSET($BN$2,0,0,ROW()-1,60),ROW()-1,FALSE))</f>
        <v/>
      </c>
      <c r="AU107" t="str">
        <f ca="1">IF(AND(ISNUMBER($AU$304),$B$185=1),$AU$304,HLOOKUP(INDIRECT(ADDRESS(2,COLUMN())),OFFSET($BN$2,0,0,ROW()-1,60),ROW()-1,FALSE))</f>
        <v/>
      </c>
      <c r="AV107" t="str">
        <f ca="1">IF(AND(ISNUMBER($AV$304),$B$185=1),$AV$304,HLOOKUP(INDIRECT(ADDRESS(2,COLUMN())),OFFSET($BN$2,0,0,ROW()-1,60),ROW()-1,FALSE))</f>
        <v/>
      </c>
      <c r="AW107" t="str">
        <f ca="1">IF(AND(ISNUMBER($AW$304),$B$185=1),$AW$304,HLOOKUP(INDIRECT(ADDRESS(2,COLUMN())),OFFSET($BN$2,0,0,ROW()-1,60),ROW()-1,FALSE))</f>
        <v/>
      </c>
      <c r="AX107" t="str">
        <f ca="1">IF(AND(ISNUMBER($AX$304),$B$185=1),$AX$304,HLOOKUP(INDIRECT(ADDRESS(2,COLUMN())),OFFSET($BN$2,0,0,ROW()-1,60),ROW()-1,FALSE))</f>
        <v/>
      </c>
      <c r="AY107" t="str">
        <f ca="1">IF(AND(ISNUMBER($AY$304),$B$185=1),$AY$304,HLOOKUP(INDIRECT(ADDRESS(2,COLUMN())),OFFSET($BN$2,0,0,ROW()-1,60),ROW()-1,FALSE))</f>
        <v/>
      </c>
      <c r="AZ107" t="str">
        <f ca="1">IF(AND(ISNUMBER($AZ$304),$B$185=1),$AZ$304,HLOOKUP(INDIRECT(ADDRESS(2,COLUMN())),OFFSET($BN$2,0,0,ROW()-1,60),ROW()-1,FALSE))</f>
        <v/>
      </c>
      <c r="BA107" t="str">
        <f ca="1">IF(AND(ISNUMBER($BA$304),$B$185=1),$BA$304,HLOOKUP(INDIRECT(ADDRESS(2,COLUMN())),OFFSET($BN$2,0,0,ROW()-1,60),ROW()-1,FALSE))</f>
        <v/>
      </c>
      <c r="BB107" t="str">
        <f ca="1">IF(AND(ISNUMBER($BB$304),$B$185=1),$BB$304,HLOOKUP(INDIRECT(ADDRESS(2,COLUMN())),OFFSET($BN$2,0,0,ROW()-1,60),ROW()-1,FALSE))</f>
        <v/>
      </c>
      <c r="BC107" t="str">
        <f ca="1">IF(AND(ISNUMBER($BC$304),$B$185=1),$BC$304,HLOOKUP(INDIRECT(ADDRESS(2,COLUMN())),OFFSET($BN$2,0,0,ROW()-1,60),ROW()-1,FALSE))</f>
        <v/>
      </c>
      <c r="BD107" t="str">
        <f ca="1">IF(AND(ISNUMBER($BD$304),$B$185=1),$BD$304,HLOOKUP(INDIRECT(ADDRESS(2,COLUMN())),OFFSET($BN$2,0,0,ROW()-1,60),ROW()-1,FALSE))</f>
        <v/>
      </c>
      <c r="BE107" t="str">
        <f ca="1">IF(AND(ISNUMBER($BE$304),$B$185=1),$BE$304,HLOOKUP(INDIRECT(ADDRESS(2,COLUMN())),OFFSET($BN$2,0,0,ROW()-1,60),ROW()-1,FALSE))</f>
        <v/>
      </c>
      <c r="BF107" t="str">
        <f ca="1">IF(AND(ISNUMBER($BF$304),$B$185=1),$BF$304,HLOOKUP(INDIRECT(ADDRESS(2,COLUMN())),OFFSET($BN$2,0,0,ROW()-1,60),ROW()-1,FALSE))</f>
        <v/>
      </c>
      <c r="BG107" t="str">
        <f ca="1">IF(AND(ISNUMBER($BG$304),$B$185=1),$BG$304,HLOOKUP(INDIRECT(ADDRESS(2,COLUMN())),OFFSET($BN$2,0,0,ROW()-1,60),ROW()-1,FALSE))</f>
        <v/>
      </c>
      <c r="BH107" t="str">
        <f ca="1">IF(AND(ISNUMBER($BH$304),$B$185=1),$BH$304,HLOOKUP(INDIRECT(ADDRESS(2,COLUMN())),OFFSET($BN$2,0,0,ROW()-1,60),ROW()-1,FALSE))</f>
        <v/>
      </c>
      <c r="BI107" t="str">
        <f ca="1">IF(AND(ISNUMBER($BI$304),$B$185=1),$BI$304,HLOOKUP(INDIRECT(ADDRESS(2,COLUMN())),OFFSET($BN$2,0,0,ROW()-1,60),ROW()-1,FALSE))</f>
        <v/>
      </c>
      <c r="BJ107" t="str">
        <f ca="1">IF(AND(ISNUMBER($BJ$304),$B$185=1),$BJ$304,HLOOKUP(INDIRECT(ADDRESS(2,COLUMN())),OFFSET($BN$2,0,0,ROW()-1,60),ROW()-1,FALSE))</f>
        <v/>
      </c>
      <c r="BK107" t="str">
        <f ca="1">IF(AND(ISNUMBER($BK$304),$B$185=1),$BK$304,HLOOKUP(INDIRECT(ADDRESS(2,COLUMN())),OFFSET($BN$2,0,0,ROW()-1,60),ROW()-1,FALSE))</f>
        <v/>
      </c>
      <c r="BL107" t="str">
        <f ca="1">IF(AND(ISNUMBER($BL$304),$B$185=1),$BL$304,HLOOKUP(INDIRECT(ADDRESS(2,COLUMN())),OFFSET($BN$2,0,0,ROW()-1,60),ROW()-1,FALSE))</f>
        <v/>
      </c>
      <c r="BM107" t="str">
        <f ca="1">IF(AND(ISNUMBER($BM$304),$B$185=1),$BM$304,HLOOKUP(INDIRECT(ADDRESS(2,COLUMN())),OFFSET($BN$2,0,0,ROW()-1,60),ROW()-1,FALSE))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  <c r="CI107" t="str">
        <f>""</f>
        <v/>
      </c>
      <c r="CJ107" t="str">
        <f>""</f>
        <v/>
      </c>
      <c r="CK107" t="str">
        <f>""</f>
        <v/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 t="str">
        <f>""</f>
        <v/>
      </c>
      <c r="DG107" t="str">
        <f>""</f>
        <v/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 t="str">
        <f>""</f>
        <v/>
      </c>
      <c r="DN107" t="str">
        <f>""</f>
        <v/>
      </c>
      <c r="DO107" t="str">
        <f>""</f>
        <v/>
      </c>
      <c r="DP107" t="str">
        <f>""</f>
        <v/>
      </c>
      <c r="DQ107" t="str">
        <f>""</f>
        <v/>
      </c>
      <c r="DR107" t="str">
        <f>""</f>
        <v/>
      </c>
      <c r="DS107" t="str">
        <f>""</f>
        <v/>
      </c>
      <c r="DT107" t="str">
        <f>""</f>
        <v/>
      </c>
      <c r="DU107" t="str">
        <f>""</f>
        <v/>
      </c>
    </row>
    <row r="108" spans="1:125">
      <c r="A108" t="str">
        <f>"    East West Bancorp Inc"</f>
        <v xml:space="preserve">    East West Bancorp Inc</v>
      </c>
      <c r="B108" t="str">
        <f>"EWBC US Equity"</f>
        <v>EWBC US Equity</v>
      </c>
      <c r="C108" t="str">
        <f t="shared" si="13"/>
        <v>BS960</v>
      </c>
      <c r="D108" t="str">
        <f t="shared" si="14"/>
        <v>BS_RESIDENT_MTG_SERVICED_OTHERS</v>
      </c>
      <c r="E108" t="str">
        <f t="shared" si="15"/>
        <v>Dynamic</v>
      </c>
      <c r="F108" t="str">
        <f ca="1">IF(AND(ISNUMBER($F$305),$B$185=1),$F$305,HLOOKUP(INDIRECT(ADDRESS(2,COLUMN())),OFFSET($BN$2,0,0,ROW()-1,60),ROW()-1,FALSE))</f>
        <v/>
      </c>
      <c r="G108" t="str">
        <f ca="1">IF(AND(ISNUMBER($G$305),$B$185=1),$G$305,HLOOKUP(INDIRECT(ADDRESS(2,COLUMN())),OFFSET($BN$2,0,0,ROW()-1,60),ROW()-1,FALSE))</f>
        <v/>
      </c>
      <c r="H108" t="str">
        <f ca="1">IF(AND(ISNUMBER($H$305),$B$185=1),$H$305,HLOOKUP(INDIRECT(ADDRESS(2,COLUMN())),OFFSET($BN$2,0,0,ROW()-1,60),ROW()-1,FALSE))</f>
        <v/>
      </c>
      <c r="I108" t="str">
        <f ca="1">IF(AND(ISNUMBER($I$305),$B$185=1),$I$305,HLOOKUP(INDIRECT(ADDRESS(2,COLUMN())),OFFSET($BN$2,0,0,ROW()-1,60),ROW()-1,FALSE))</f>
        <v/>
      </c>
      <c r="J108" t="str">
        <f ca="1">IF(AND(ISNUMBER($J$305),$B$185=1),$J$305,HLOOKUP(INDIRECT(ADDRESS(2,COLUMN())),OFFSET($BN$2,0,0,ROW()-1,60),ROW()-1,FALSE))</f>
        <v/>
      </c>
      <c r="K108" t="str">
        <f ca="1">IF(AND(ISNUMBER($K$305),$B$185=1),$K$305,HLOOKUP(INDIRECT(ADDRESS(2,COLUMN())),OFFSET($BN$2,0,0,ROW()-1,60),ROW()-1,FALSE))</f>
        <v/>
      </c>
      <c r="L108" t="str">
        <f ca="1">IF(AND(ISNUMBER($L$305),$B$185=1),$L$305,HLOOKUP(INDIRECT(ADDRESS(2,COLUMN())),OFFSET($BN$2,0,0,ROW()-1,60),ROW()-1,FALSE))</f>
        <v/>
      </c>
      <c r="M108" t="str">
        <f ca="1">IF(AND(ISNUMBER($M$305),$B$185=1),$M$305,HLOOKUP(INDIRECT(ADDRESS(2,COLUMN())),OFFSET($BN$2,0,0,ROW()-1,60),ROW()-1,FALSE))</f>
        <v/>
      </c>
      <c r="N108" t="str">
        <f ca="1">IF(AND(ISNUMBER($N$305),$B$185=1),$N$305,HLOOKUP(INDIRECT(ADDRESS(2,COLUMN())),OFFSET($BN$2,0,0,ROW()-1,60),ROW()-1,FALSE))</f>
        <v/>
      </c>
      <c r="O108" t="str">
        <f ca="1">IF(AND(ISNUMBER($O$305),$B$185=1),$O$305,HLOOKUP(INDIRECT(ADDRESS(2,COLUMN())),OFFSET($BN$2,0,0,ROW()-1,60),ROW()-1,FALSE))</f>
        <v/>
      </c>
      <c r="P108" t="str">
        <f ca="1">IF(AND(ISNUMBER($P$305),$B$185=1),$P$305,HLOOKUP(INDIRECT(ADDRESS(2,COLUMN())),OFFSET($BN$2,0,0,ROW()-1,60),ROW()-1,FALSE))</f>
        <v/>
      </c>
      <c r="Q108" t="str">
        <f ca="1">IF(AND(ISNUMBER($Q$305),$B$185=1),$Q$305,HLOOKUP(INDIRECT(ADDRESS(2,COLUMN())),OFFSET($BN$2,0,0,ROW()-1,60),ROW()-1,FALSE))</f>
        <v/>
      </c>
      <c r="R108" t="str">
        <f ca="1">IF(AND(ISNUMBER($R$305),$B$185=1),$R$305,HLOOKUP(INDIRECT(ADDRESS(2,COLUMN())),OFFSET($BN$2,0,0,ROW()-1,60),ROW()-1,FALSE))</f>
        <v/>
      </c>
      <c r="S108" t="str">
        <f ca="1">IF(AND(ISNUMBER($S$305),$B$185=1),$S$305,HLOOKUP(INDIRECT(ADDRESS(2,COLUMN())),OFFSET($BN$2,0,0,ROW()-1,60),ROW()-1,FALSE))</f>
        <v/>
      </c>
      <c r="T108" t="str">
        <f ca="1">IF(AND(ISNUMBER($T$305),$B$185=1),$T$305,HLOOKUP(INDIRECT(ADDRESS(2,COLUMN())),OFFSET($BN$2,0,0,ROW()-1,60),ROW()-1,FALSE))</f>
        <v/>
      </c>
      <c r="U108" t="str">
        <f ca="1">IF(AND(ISNUMBER($U$305),$B$185=1),$U$305,HLOOKUP(INDIRECT(ADDRESS(2,COLUMN())),OFFSET($BN$2,0,0,ROW()-1,60),ROW()-1,FALSE))</f>
        <v/>
      </c>
      <c r="V108" t="str">
        <f ca="1">IF(AND(ISNUMBER($V$305),$B$185=1),$V$305,HLOOKUP(INDIRECT(ADDRESS(2,COLUMN())),OFFSET($BN$2,0,0,ROW()-1,60),ROW()-1,FALSE))</f>
        <v/>
      </c>
      <c r="W108" t="str">
        <f ca="1">IF(AND(ISNUMBER($W$305),$B$185=1),$W$305,HLOOKUP(INDIRECT(ADDRESS(2,COLUMN())),OFFSET($BN$2,0,0,ROW()-1,60),ROW()-1,FALSE))</f>
        <v/>
      </c>
      <c r="X108" t="str">
        <f ca="1">IF(AND(ISNUMBER($X$305),$B$185=1),$X$305,HLOOKUP(INDIRECT(ADDRESS(2,COLUMN())),OFFSET($BN$2,0,0,ROW()-1,60),ROW()-1,FALSE))</f>
        <v/>
      </c>
      <c r="Y108" t="str">
        <f ca="1">IF(AND(ISNUMBER($Y$305),$B$185=1),$Y$305,HLOOKUP(INDIRECT(ADDRESS(2,COLUMN())),OFFSET($BN$2,0,0,ROW()-1,60),ROW()-1,FALSE))</f>
        <v/>
      </c>
      <c r="Z108" t="str">
        <f ca="1">IF(AND(ISNUMBER($Z$305),$B$185=1),$Z$305,HLOOKUP(INDIRECT(ADDRESS(2,COLUMN())),OFFSET($BN$2,0,0,ROW()-1,60),ROW()-1,FALSE))</f>
        <v/>
      </c>
      <c r="AA108" t="str">
        <f ca="1">IF(AND(ISNUMBER($AA$305),$B$185=1),$AA$305,HLOOKUP(INDIRECT(ADDRESS(2,COLUMN())),OFFSET($BN$2,0,0,ROW()-1,60),ROW()-1,FALSE))</f>
        <v/>
      </c>
      <c r="AB108" t="str">
        <f ca="1">IF(AND(ISNUMBER($AB$305),$B$185=1),$AB$305,HLOOKUP(INDIRECT(ADDRESS(2,COLUMN())),OFFSET($BN$2,0,0,ROW()-1,60),ROW()-1,FALSE))</f>
        <v/>
      </c>
      <c r="AC108" t="str">
        <f ca="1">IF(AND(ISNUMBER($AC$305),$B$185=1),$AC$305,HLOOKUP(INDIRECT(ADDRESS(2,COLUMN())),OFFSET($BN$2,0,0,ROW()-1,60),ROW()-1,FALSE))</f>
        <v/>
      </c>
      <c r="AD108" t="str">
        <f ca="1">IF(AND(ISNUMBER($AD$305),$B$185=1),$AD$305,HLOOKUP(INDIRECT(ADDRESS(2,COLUMN())),OFFSET($BN$2,0,0,ROW()-1,60),ROW()-1,FALSE))</f>
        <v/>
      </c>
      <c r="AE108" t="str">
        <f ca="1">IF(AND(ISNUMBER($AE$305),$B$185=1),$AE$305,HLOOKUP(INDIRECT(ADDRESS(2,COLUMN())),OFFSET($BN$2,0,0,ROW()-1,60),ROW()-1,FALSE))</f>
        <v/>
      </c>
      <c r="AF108" t="str">
        <f ca="1">IF(AND(ISNUMBER($AF$305),$B$185=1),$AF$305,HLOOKUP(INDIRECT(ADDRESS(2,COLUMN())),OFFSET($BN$2,0,0,ROW()-1,60),ROW()-1,FALSE))</f>
        <v/>
      </c>
      <c r="AG108" t="str">
        <f ca="1">IF(AND(ISNUMBER($AG$305),$B$185=1),$AG$305,HLOOKUP(INDIRECT(ADDRESS(2,COLUMN())),OFFSET($BN$2,0,0,ROW()-1,60),ROW()-1,FALSE))</f>
        <v/>
      </c>
      <c r="AH108" t="str">
        <f ca="1">IF(AND(ISNUMBER($AH$305),$B$185=1),$AH$305,HLOOKUP(INDIRECT(ADDRESS(2,COLUMN())),OFFSET($BN$2,0,0,ROW()-1,60),ROW()-1,FALSE))</f>
        <v/>
      </c>
      <c r="AI108" t="str">
        <f ca="1">IF(AND(ISNUMBER($AI$305),$B$185=1),$AI$305,HLOOKUP(INDIRECT(ADDRESS(2,COLUMN())),OFFSET($BN$2,0,0,ROW()-1,60),ROW()-1,FALSE))</f>
        <v/>
      </c>
      <c r="AJ108" t="str">
        <f ca="1">IF(AND(ISNUMBER($AJ$305),$B$185=1),$AJ$305,HLOOKUP(INDIRECT(ADDRESS(2,COLUMN())),OFFSET($BN$2,0,0,ROW()-1,60),ROW()-1,FALSE))</f>
        <v/>
      </c>
      <c r="AK108" t="str">
        <f ca="1">IF(AND(ISNUMBER($AK$305),$B$185=1),$AK$305,HLOOKUP(INDIRECT(ADDRESS(2,COLUMN())),OFFSET($BN$2,0,0,ROW()-1,60),ROW()-1,FALSE))</f>
        <v/>
      </c>
      <c r="AL108" t="str">
        <f ca="1">IF(AND(ISNUMBER($AL$305),$B$185=1),$AL$305,HLOOKUP(INDIRECT(ADDRESS(2,COLUMN())),OFFSET($BN$2,0,0,ROW()-1,60),ROW()-1,FALSE))</f>
        <v/>
      </c>
      <c r="AM108" t="str">
        <f ca="1">IF(AND(ISNUMBER($AM$305),$B$185=1),$AM$305,HLOOKUP(INDIRECT(ADDRESS(2,COLUMN())),OFFSET($BN$2,0,0,ROW()-1,60),ROW()-1,FALSE))</f>
        <v/>
      </c>
      <c r="AN108" t="str">
        <f ca="1">IF(AND(ISNUMBER($AN$305),$B$185=1),$AN$305,HLOOKUP(INDIRECT(ADDRESS(2,COLUMN())),OFFSET($BN$2,0,0,ROW()-1,60),ROW()-1,FALSE))</f>
        <v/>
      </c>
      <c r="AO108" t="str">
        <f ca="1">IF(AND(ISNUMBER($AO$305),$B$185=1),$AO$305,HLOOKUP(INDIRECT(ADDRESS(2,COLUMN())),OFFSET($BN$2,0,0,ROW()-1,60),ROW()-1,FALSE))</f>
        <v/>
      </c>
      <c r="AP108" t="str">
        <f ca="1">IF(AND(ISNUMBER($AP$305),$B$185=1),$AP$305,HLOOKUP(INDIRECT(ADDRESS(2,COLUMN())),OFFSET($BN$2,0,0,ROW()-1,60),ROW()-1,FALSE))</f>
        <v/>
      </c>
      <c r="AQ108" t="str">
        <f ca="1">IF(AND(ISNUMBER($AQ$305),$B$185=1),$AQ$305,HLOOKUP(INDIRECT(ADDRESS(2,COLUMN())),OFFSET($BN$2,0,0,ROW()-1,60),ROW()-1,FALSE))</f>
        <v/>
      </c>
      <c r="AR108" t="str">
        <f ca="1">IF(AND(ISNUMBER($AR$305),$B$185=1),$AR$305,HLOOKUP(INDIRECT(ADDRESS(2,COLUMN())),OFFSET($BN$2,0,0,ROW()-1,60),ROW()-1,FALSE))</f>
        <v/>
      </c>
      <c r="AS108" t="str">
        <f ca="1">IF(AND(ISNUMBER($AS$305),$B$185=1),$AS$305,HLOOKUP(INDIRECT(ADDRESS(2,COLUMN())),OFFSET($BN$2,0,0,ROW()-1,60),ROW()-1,FALSE))</f>
        <v/>
      </c>
      <c r="AT108" t="str">
        <f ca="1">IF(AND(ISNUMBER($AT$305),$B$185=1),$AT$305,HLOOKUP(INDIRECT(ADDRESS(2,COLUMN())),OFFSET($BN$2,0,0,ROW()-1,60),ROW()-1,FALSE))</f>
        <v/>
      </c>
      <c r="AU108" t="str">
        <f ca="1">IF(AND(ISNUMBER($AU$305),$B$185=1),$AU$305,HLOOKUP(INDIRECT(ADDRESS(2,COLUMN())),OFFSET($BN$2,0,0,ROW()-1,60),ROW()-1,FALSE))</f>
        <v/>
      </c>
      <c r="AV108" t="str">
        <f ca="1">IF(AND(ISNUMBER($AV$305),$B$185=1),$AV$305,HLOOKUP(INDIRECT(ADDRESS(2,COLUMN())),OFFSET($BN$2,0,0,ROW()-1,60),ROW()-1,FALSE))</f>
        <v/>
      </c>
      <c r="AW108" t="str">
        <f ca="1">IF(AND(ISNUMBER($AW$305),$B$185=1),$AW$305,HLOOKUP(INDIRECT(ADDRESS(2,COLUMN())),OFFSET($BN$2,0,0,ROW()-1,60),ROW()-1,FALSE))</f>
        <v/>
      </c>
      <c r="AX108" t="str">
        <f ca="1">IF(AND(ISNUMBER($AX$305),$B$185=1),$AX$305,HLOOKUP(INDIRECT(ADDRESS(2,COLUMN())),OFFSET($BN$2,0,0,ROW()-1,60),ROW()-1,FALSE))</f>
        <v/>
      </c>
      <c r="AY108" t="str">
        <f ca="1">IF(AND(ISNUMBER($AY$305),$B$185=1),$AY$305,HLOOKUP(INDIRECT(ADDRESS(2,COLUMN())),OFFSET($BN$2,0,0,ROW()-1,60),ROW()-1,FALSE))</f>
        <v/>
      </c>
      <c r="AZ108" t="str">
        <f ca="1">IF(AND(ISNUMBER($AZ$305),$B$185=1),$AZ$305,HLOOKUP(INDIRECT(ADDRESS(2,COLUMN())),OFFSET($BN$2,0,0,ROW()-1,60),ROW()-1,FALSE))</f>
        <v/>
      </c>
      <c r="BA108" t="str">
        <f ca="1">IF(AND(ISNUMBER($BA$305),$B$185=1),$BA$305,HLOOKUP(INDIRECT(ADDRESS(2,COLUMN())),OFFSET($BN$2,0,0,ROW()-1,60),ROW()-1,FALSE))</f>
        <v/>
      </c>
      <c r="BB108" t="str">
        <f ca="1">IF(AND(ISNUMBER($BB$305),$B$185=1),$BB$305,HLOOKUP(INDIRECT(ADDRESS(2,COLUMN())),OFFSET($BN$2,0,0,ROW()-1,60),ROW()-1,FALSE))</f>
        <v/>
      </c>
      <c r="BC108" t="str">
        <f ca="1">IF(AND(ISNUMBER($BC$305),$B$185=1),$BC$305,HLOOKUP(INDIRECT(ADDRESS(2,COLUMN())),OFFSET($BN$2,0,0,ROW()-1,60),ROW()-1,FALSE))</f>
        <v/>
      </c>
      <c r="BD108" t="str">
        <f ca="1">IF(AND(ISNUMBER($BD$305),$B$185=1),$BD$305,HLOOKUP(INDIRECT(ADDRESS(2,COLUMN())),OFFSET($BN$2,0,0,ROW()-1,60),ROW()-1,FALSE))</f>
        <v/>
      </c>
      <c r="BE108" t="str">
        <f ca="1">IF(AND(ISNUMBER($BE$305),$B$185=1),$BE$305,HLOOKUP(INDIRECT(ADDRESS(2,COLUMN())),OFFSET($BN$2,0,0,ROW()-1,60),ROW()-1,FALSE))</f>
        <v/>
      </c>
      <c r="BF108" t="str">
        <f ca="1">IF(AND(ISNUMBER($BF$305),$B$185=1),$BF$305,HLOOKUP(INDIRECT(ADDRESS(2,COLUMN())),OFFSET($BN$2,0,0,ROW()-1,60),ROW()-1,FALSE))</f>
        <v/>
      </c>
      <c r="BG108" t="str">
        <f ca="1">IF(AND(ISNUMBER($BG$305),$B$185=1),$BG$305,HLOOKUP(INDIRECT(ADDRESS(2,COLUMN())),OFFSET($BN$2,0,0,ROW()-1,60),ROW()-1,FALSE))</f>
        <v/>
      </c>
      <c r="BH108" t="str">
        <f ca="1">IF(AND(ISNUMBER($BH$305),$B$185=1),$BH$305,HLOOKUP(INDIRECT(ADDRESS(2,COLUMN())),OFFSET($BN$2,0,0,ROW()-1,60),ROW()-1,FALSE))</f>
        <v/>
      </c>
      <c r="BI108" t="str">
        <f ca="1">IF(AND(ISNUMBER($BI$305),$B$185=1),$BI$305,HLOOKUP(INDIRECT(ADDRESS(2,COLUMN())),OFFSET($BN$2,0,0,ROW()-1,60),ROW()-1,FALSE))</f>
        <v/>
      </c>
      <c r="BJ108" t="str">
        <f ca="1">IF(AND(ISNUMBER($BJ$305),$B$185=1),$BJ$305,HLOOKUP(INDIRECT(ADDRESS(2,COLUMN())),OFFSET($BN$2,0,0,ROW()-1,60),ROW()-1,FALSE))</f>
        <v/>
      </c>
      <c r="BK108" t="str">
        <f ca="1">IF(AND(ISNUMBER($BK$305),$B$185=1),$BK$305,HLOOKUP(INDIRECT(ADDRESS(2,COLUMN())),OFFSET($BN$2,0,0,ROW()-1,60),ROW()-1,FALSE))</f>
        <v/>
      </c>
      <c r="BL108" t="str">
        <f ca="1">IF(AND(ISNUMBER($BL$305),$B$185=1),$BL$305,HLOOKUP(INDIRECT(ADDRESS(2,COLUMN())),OFFSET($BN$2,0,0,ROW()-1,60),ROW()-1,FALSE))</f>
        <v/>
      </c>
      <c r="BM108" t="str">
        <f ca="1">IF(AND(ISNUMBER($BM$305),$B$185=1),$BM$305,HLOOKUP(INDIRECT(ADDRESS(2,COLUMN())),OFFSET($BN$2,0,0,ROW()-1,60),ROW()-1,FALSE))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  <c r="BT108" t="str">
        <f>""</f>
        <v/>
      </c>
      <c r="BU108" t="str">
        <f>""</f>
        <v/>
      </c>
      <c r="BV108" t="str">
        <f>""</f>
        <v/>
      </c>
      <c r="BW108" t="str">
        <f>""</f>
        <v/>
      </c>
      <c r="BX108" t="str">
        <f>""</f>
        <v/>
      </c>
      <c r="BY108" t="str">
        <f>""</f>
        <v/>
      </c>
      <c r="BZ108" t="str">
        <f>""</f>
        <v/>
      </c>
      <c r="CA108" t="str">
        <f>""</f>
        <v/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""</f>
        <v/>
      </c>
      <c r="CG108" t="str">
        <f>""</f>
        <v/>
      </c>
      <c r="CH108" t="str">
        <f>""</f>
        <v/>
      </c>
      <c r="CI108" t="str">
        <f>""</f>
        <v/>
      </c>
      <c r="CJ108" t="str">
        <f>""</f>
        <v/>
      </c>
      <c r="CK108" t="str">
        <f>""</f>
        <v/>
      </c>
      <c r="CL108" t="str">
        <f>""</f>
        <v/>
      </c>
      <c r="CM108" t="str">
        <f>""</f>
        <v/>
      </c>
      <c r="CN108" t="str">
        <f>""</f>
        <v/>
      </c>
      <c r="CO108" t="str">
        <f>""</f>
        <v/>
      </c>
      <c r="CP108" t="str">
        <f>""</f>
        <v/>
      </c>
      <c r="CQ108" t="str">
        <f>""</f>
        <v/>
      </c>
      <c r="CR108" t="str">
        <f>""</f>
        <v/>
      </c>
      <c r="CS108" t="str">
        <f>""</f>
        <v/>
      </c>
      <c r="CT108" t="str">
        <f>""</f>
        <v/>
      </c>
      <c r="CU108" t="str">
        <f>""</f>
        <v/>
      </c>
      <c r="CV108" t="str">
        <f>""</f>
        <v/>
      </c>
      <c r="CW108" t="str">
        <f>""</f>
        <v/>
      </c>
      <c r="CX108" t="str">
        <f>""</f>
        <v/>
      </c>
      <c r="CY108" t="str">
        <f>""</f>
        <v/>
      </c>
      <c r="CZ108" t="str">
        <f>""</f>
        <v/>
      </c>
      <c r="DA108" t="str">
        <f>""</f>
        <v/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>
      <c r="A109" t="str">
        <f>"    First Horizon Corp"</f>
        <v xml:space="preserve">    First Horizon Corp</v>
      </c>
      <c r="B109" t="str">
        <f>"FHN US Equity"</f>
        <v>FHN US Equity</v>
      </c>
      <c r="C109" t="str">
        <f t="shared" si="13"/>
        <v>BS960</v>
      </c>
      <c r="D109" t="str">
        <f t="shared" si="14"/>
        <v>BS_RESIDENT_MTG_SERVICED_OTHERS</v>
      </c>
      <c r="E109" t="str">
        <f t="shared" si="15"/>
        <v>Dynamic</v>
      </c>
      <c r="F109" t="str">
        <f ca="1">IF(AND(ISNUMBER($F$306),$B$185=1),$F$306,HLOOKUP(INDIRECT(ADDRESS(2,COLUMN())),OFFSET($BN$2,0,0,ROW()-1,60),ROW()-1,FALSE))</f>
        <v/>
      </c>
      <c r="G109" t="str">
        <f ca="1">IF(AND(ISNUMBER($G$306),$B$185=1),$G$306,HLOOKUP(INDIRECT(ADDRESS(2,COLUMN())),OFFSET($BN$2,0,0,ROW()-1,60),ROW()-1,FALSE))</f>
        <v/>
      </c>
      <c r="H109" t="str">
        <f ca="1">IF(AND(ISNUMBER($H$306),$B$185=1),$H$306,HLOOKUP(INDIRECT(ADDRESS(2,COLUMN())),OFFSET($BN$2,0,0,ROW()-1,60),ROW()-1,FALSE))</f>
        <v/>
      </c>
      <c r="I109" t="str">
        <f ca="1">IF(AND(ISNUMBER($I$306),$B$185=1),$I$306,HLOOKUP(INDIRECT(ADDRESS(2,COLUMN())),OFFSET($BN$2,0,0,ROW()-1,60),ROW()-1,FALSE))</f>
        <v/>
      </c>
      <c r="J109" t="str">
        <f ca="1">IF(AND(ISNUMBER($J$306),$B$185=1),$J$306,HLOOKUP(INDIRECT(ADDRESS(2,COLUMN())),OFFSET($BN$2,0,0,ROW()-1,60),ROW()-1,FALSE))</f>
        <v/>
      </c>
      <c r="K109" t="str">
        <f ca="1">IF(AND(ISNUMBER($K$306),$B$185=1),$K$306,HLOOKUP(INDIRECT(ADDRESS(2,COLUMN())),OFFSET($BN$2,0,0,ROW()-1,60),ROW()-1,FALSE))</f>
        <v/>
      </c>
      <c r="L109" t="str">
        <f ca="1">IF(AND(ISNUMBER($L$306),$B$185=1),$L$306,HLOOKUP(INDIRECT(ADDRESS(2,COLUMN())),OFFSET($BN$2,0,0,ROW()-1,60),ROW()-1,FALSE))</f>
        <v/>
      </c>
      <c r="M109" t="str">
        <f ca="1">IF(AND(ISNUMBER($M$306),$B$185=1),$M$306,HLOOKUP(INDIRECT(ADDRESS(2,COLUMN())),OFFSET($BN$2,0,0,ROW()-1,60),ROW()-1,FALSE))</f>
        <v/>
      </c>
      <c r="N109" t="str">
        <f ca="1">IF(AND(ISNUMBER($N$306),$B$185=1),$N$306,HLOOKUP(INDIRECT(ADDRESS(2,COLUMN())),OFFSET($BN$2,0,0,ROW()-1,60),ROW()-1,FALSE))</f>
        <v/>
      </c>
      <c r="O109" t="str">
        <f ca="1">IF(AND(ISNUMBER($O$306),$B$185=1),$O$306,HLOOKUP(INDIRECT(ADDRESS(2,COLUMN())),OFFSET($BN$2,0,0,ROW()-1,60),ROW()-1,FALSE))</f>
        <v/>
      </c>
      <c r="P109" t="str">
        <f ca="1">IF(AND(ISNUMBER($P$306),$B$185=1),$P$306,HLOOKUP(INDIRECT(ADDRESS(2,COLUMN())),OFFSET($BN$2,0,0,ROW()-1,60),ROW()-1,FALSE))</f>
        <v/>
      </c>
      <c r="Q109" t="str">
        <f ca="1">IF(AND(ISNUMBER($Q$306),$B$185=1),$Q$306,HLOOKUP(INDIRECT(ADDRESS(2,COLUMN())),OFFSET($BN$2,0,0,ROW()-1,60),ROW()-1,FALSE))</f>
        <v/>
      </c>
      <c r="R109" t="str">
        <f ca="1">IF(AND(ISNUMBER($R$306),$B$185=1),$R$306,HLOOKUP(INDIRECT(ADDRESS(2,COLUMN())),OFFSET($BN$2,0,0,ROW()-1,60),ROW()-1,FALSE))</f>
        <v/>
      </c>
      <c r="S109" t="str">
        <f ca="1">IF(AND(ISNUMBER($S$306),$B$185=1),$S$306,HLOOKUP(INDIRECT(ADDRESS(2,COLUMN())),OFFSET($BN$2,0,0,ROW()-1,60),ROW()-1,FALSE))</f>
        <v/>
      </c>
      <c r="T109" t="str">
        <f ca="1">IF(AND(ISNUMBER($T$306),$B$185=1),$T$306,HLOOKUP(INDIRECT(ADDRESS(2,COLUMN())),OFFSET($BN$2,0,0,ROW()-1,60),ROW()-1,FALSE))</f>
        <v/>
      </c>
      <c r="U109" t="str">
        <f ca="1">IF(AND(ISNUMBER($U$306),$B$185=1),$U$306,HLOOKUP(INDIRECT(ADDRESS(2,COLUMN())),OFFSET($BN$2,0,0,ROW()-1,60),ROW()-1,FALSE))</f>
        <v/>
      </c>
      <c r="V109" t="str">
        <f ca="1">IF(AND(ISNUMBER($V$306),$B$185=1),$V$306,HLOOKUP(INDIRECT(ADDRESS(2,COLUMN())),OFFSET($BN$2,0,0,ROW()-1,60),ROW()-1,FALSE))</f>
        <v/>
      </c>
      <c r="W109" t="str">
        <f ca="1">IF(AND(ISNUMBER($W$306),$B$185=1),$W$306,HLOOKUP(INDIRECT(ADDRESS(2,COLUMN())),OFFSET($BN$2,0,0,ROW()-1,60),ROW()-1,FALSE))</f>
        <v/>
      </c>
      <c r="X109" t="str">
        <f ca="1">IF(AND(ISNUMBER($X$306),$B$185=1),$X$306,HLOOKUP(INDIRECT(ADDRESS(2,COLUMN())),OFFSET($BN$2,0,0,ROW()-1,60),ROW()-1,FALSE))</f>
        <v/>
      </c>
      <c r="Y109" t="str">
        <f ca="1">IF(AND(ISNUMBER($Y$306),$B$185=1),$Y$306,HLOOKUP(INDIRECT(ADDRESS(2,COLUMN())),OFFSET($BN$2,0,0,ROW()-1,60),ROW()-1,FALSE))</f>
        <v/>
      </c>
      <c r="Z109" t="str">
        <f ca="1">IF(AND(ISNUMBER($Z$306),$B$185=1),$Z$306,HLOOKUP(INDIRECT(ADDRESS(2,COLUMN())),OFFSET($BN$2,0,0,ROW()-1,60),ROW()-1,FALSE))</f>
        <v/>
      </c>
      <c r="AA109" t="str">
        <f ca="1">IF(AND(ISNUMBER($AA$306),$B$185=1),$AA$306,HLOOKUP(INDIRECT(ADDRESS(2,COLUMN())),OFFSET($BN$2,0,0,ROW()-1,60),ROW()-1,FALSE))</f>
        <v/>
      </c>
      <c r="AB109" t="str">
        <f ca="1">IF(AND(ISNUMBER($AB$306),$B$185=1),$AB$306,HLOOKUP(INDIRECT(ADDRESS(2,COLUMN())),OFFSET($BN$2,0,0,ROW()-1,60),ROW()-1,FALSE))</f>
        <v/>
      </c>
      <c r="AC109" t="str">
        <f ca="1">IF(AND(ISNUMBER($AC$306),$B$185=1),$AC$306,HLOOKUP(INDIRECT(ADDRESS(2,COLUMN())),OFFSET($BN$2,0,0,ROW()-1,60),ROW()-1,FALSE))</f>
        <v/>
      </c>
      <c r="AD109" t="str">
        <f ca="1">IF(AND(ISNUMBER($AD$306),$B$185=1),$AD$306,HLOOKUP(INDIRECT(ADDRESS(2,COLUMN())),OFFSET($BN$2,0,0,ROW()-1,60),ROW()-1,FALSE))</f>
        <v/>
      </c>
      <c r="AE109" t="str">
        <f ca="1">IF(AND(ISNUMBER($AE$306),$B$185=1),$AE$306,HLOOKUP(INDIRECT(ADDRESS(2,COLUMN())),OFFSET($BN$2,0,0,ROW()-1,60),ROW()-1,FALSE))</f>
        <v/>
      </c>
      <c r="AF109" t="str">
        <f ca="1">IF(AND(ISNUMBER($AF$306),$B$185=1),$AF$306,HLOOKUP(INDIRECT(ADDRESS(2,COLUMN())),OFFSET($BN$2,0,0,ROW()-1,60),ROW()-1,FALSE))</f>
        <v/>
      </c>
      <c r="AG109" t="str">
        <f ca="1">IF(AND(ISNUMBER($AG$306),$B$185=1),$AG$306,HLOOKUP(INDIRECT(ADDRESS(2,COLUMN())),OFFSET($BN$2,0,0,ROW()-1,60),ROW()-1,FALSE))</f>
        <v/>
      </c>
      <c r="AH109" t="str">
        <f ca="1">IF(AND(ISNUMBER($AH$306),$B$185=1),$AH$306,HLOOKUP(INDIRECT(ADDRESS(2,COLUMN())),OFFSET($BN$2,0,0,ROW()-1,60),ROW()-1,FALSE))</f>
        <v/>
      </c>
      <c r="AI109" t="str">
        <f ca="1">IF(AND(ISNUMBER($AI$306),$B$185=1),$AI$306,HLOOKUP(INDIRECT(ADDRESS(2,COLUMN())),OFFSET($BN$2,0,0,ROW()-1,60),ROW()-1,FALSE))</f>
        <v/>
      </c>
      <c r="AJ109" t="str">
        <f ca="1">IF(AND(ISNUMBER($AJ$306),$B$185=1),$AJ$306,HLOOKUP(INDIRECT(ADDRESS(2,COLUMN())),OFFSET($BN$2,0,0,ROW()-1,60),ROW()-1,FALSE))</f>
        <v/>
      </c>
      <c r="AK109" t="str">
        <f ca="1">IF(AND(ISNUMBER($AK$306),$B$185=1),$AK$306,HLOOKUP(INDIRECT(ADDRESS(2,COLUMN())),OFFSET($BN$2,0,0,ROW()-1,60),ROW()-1,FALSE))</f>
        <v/>
      </c>
      <c r="AL109" t="str">
        <f ca="1">IF(AND(ISNUMBER($AL$306),$B$185=1),$AL$306,HLOOKUP(INDIRECT(ADDRESS(2,COLUMN())),OFFSET($BN$2,0,0,ROW()-1,60),ROW()-1,FALSE))</f>
        <v/>
      </c>
      <c r="AM109" t="str">
        <f ca="1">IF(AND(ISNUMBER($AM$306),$B$185=1),$AM$306,HLOOKUP(INDIRECT(ADDRESS(2,COLUMN())),OFFSET($BN$2,0,0,ROW()-1,60),ROW()-1,FALSE))</f>
        <v/>
      </c>
      <c r="AN109" t="str">
        <f ca="1">IF(AND(ISNUMBER($AN$306),$B$185=1),$AN$306,HLOOKUP(INDIRECT(ADDRESS(2,COLUMN())),OFFSET($BN$2,0,0,ROW()-1,60),ROW()-1,FALSE))</f>
        <v/>
      </c>
      <c r="AO109" t="str">
        <f ca="1">IF(AND(ISNUMBER($AO$306),$B$185=1),$AO$306,HLOOKUP(INDIRECT(ADDRESS(2,COLUMN())),OFFSET($BN$2,0,0,ROW()-1,60),ROW()-1,FALSE))</f>
        <v/>
      </c>
      <c r="AP109" t="str">
        <f ca="1">IF(AND(ISNUMBER($AP$306),$B$185=1),$AP$306,HLOOKUP(INDIRECT(ADDRESS(2,COLUMN())),OFFSET($BN$2,0,0,ROW()-1,60),ROW()-1,FALSE))</f>
        <v/>
      </c>
      <c r="AQ109" t="str">
        <f ca="1">IF(AND(ISNUMBER($AQ$306),$B$185=1),$AQ$306,HLOOKUP(INDIRECT(ADDRESS(2,COLUMN())),OFFSET($BN$2,0,0,ROW()-1,60),ROW()-1,FALSE))</f>
        <v/>
      </c>
      <c r="AR109" t="str">
        <f ca="1">IF(AND(ISNUMBER($AR$306),$B$185=1),$AR$306,HLOOKUP(INDIRECT(ADDRESS(2,COLUMN())),OFFSET($BN$2,0,0,ROW()-1,60),ROW()-1,FALSE))</f>
        <v/>
      </c>
      <c r="AS109" t="str">
        <f ca="1">IF(AND(ISNUMBER($AS$306),$B$185=1),$AS$306,HLOOKUP(INDIRECT(ADDRESS(2,COLUMN())),OFFSET($BN$2,0,0,ROW()-1,60),ROW()-1,FALSE))</f>
        <v/>
      </c>
      <c r="AT109" t="str">
        <f ca="1">IF(AND(ISNUMBER($AT$306),$B$185=1),$AT$306,HLOOKUP(INDIRECT(ADDRESS(2,COLUMN())),OFFSET($BN$2,0,0,ROW()-1,60),ROW()-1,FALSE))</f>
        <v/>
      </c>
      <c r="AU109" t="str">
        <f ca="1">IF(AND(ISNUMBER($AU$306),$B$185=1),$AU$306,HLOOKUP(INDIRECT(ADDRESS(2,COLUMN())),OFFSET($BN$2,0,0,ROW()-1,60),ROW()-1,FALSE))</f>
        <v/>
      </c>
      <c r="AV109" t="str">
        <f ca="1">IF(AND(ISNUMBER($AV$306),$B$185=1),$AV$306,HLOOKUP(INDIRECT(ADDRESS(2,COLUMN())),OFFSET($BN$2,0,0,ROW()-1,60),ROW()-1,FALSE))</f>
        <v/>
      </c>
      <c r="AW109" t="str">
        <f ca="1">IF(AND(ISNUMBER($AW$306),$B$185=1),$AW$306,HLOOKUP(INDIRECT(ADDRESS(2,COLUMN())),OFFSET($BN$2,0,0,ROW()-1,60),ROW()-1,FALSE))</f>
        <v/>
      </c>
      <c r="AX109" t="str">
        <f ca="1">IF(AND(ISNUMBER($AX$306),$B$185=1),$AX$306,HLOOKUP(INDIRECT(ADDRESS(2,COLUMN())),OFFSET($BN$2,0,0,ROW()-1,60),ROW()-1,FALSE))</f>
        <v/>
      </c>
      <c r="AY109" t="str">
        <f ca="1">IF(AND(ISNUMBER($AY$306),$B$185=1),$AY$306,HLOOKUP(INDIRECT(ADDRESS(2,COLUMN())),OFFSET($BN$2,0,0,ROW()-1,60),ROW()-1,FALSE))</f>
        <v/>
      </c>
      <c r="AZ109" t="str">
        <f ca="1">IF(AND(ISNUMBER($AZ$306),$B$185=1),$AZ$306,HLOOKUP(INDIRECT(ADDRESS(2,COLUMN())),OFFSET($BN$2,0,0,ROW()-1,60),ROW()-1,FALSE))</f>
        <v/>
      </c>
      <c r="BA109" t="str">
        <f ca="1">IF(AND(ISNUMBER($BA$306),$B$185=1),$BA$306,HLOOKUP(INDIRECT(ADDRESS(2,COLUMN())),OFFSET($BN$2,0,0,ROW()-1,60),ROW()-1,FALSE))</f>
        <v/>
      </c>
      <c r="BB109" t="str">
        <f ca="1">IF(AND(ISNUMBER($BB$306),$B$185=1),$BB$306,HLOOKUP(INDIRECT(ADDRESS(2,COLUMN())),OFFSET($BN$2,0,0,ROW()-1,60),ROW()-1,FALSE))</f>
        <v/>
      </c>
      <c r="BC109" t="str">
        <f ca="1">IF(AND(ISNUMBER($BC$306),$B$185=1),$BC$306,HLOOKUP(INDIRECT(ADDRESS(2,COLUMN())),OFFSET($BN$2,0,0,ROW()-1,60),ROW()-1,FALSE))</f>
        <v/>
      </c>
      <c r="BD109" t="str">
        <f ca="1">IF(AND(ISNUMBER($BD$306),$B$185=1),$BD$306,HLOOKUP(INDIRECT(ADDRESS(2,COLUMN())),OFFSET($BN$2,0,0,ROW()-1,60),ROW()-1,FALSE))</f>
        <v/>
      </c>
      <c r="BE109" t="str">
        <f ca="1">IF(AND(ISNUMBER($BE$306),$B$185=1),$BE$306,HLOOKUP(INDIRECT(ADDRESS(2,COLUMN())),OFFSET($BN$2,0,0,ROW()-1,60),ROW()-1,FALSE))</f>
        <v/>
      </c>
      <c r="BF109" t="str">
        <f ca="1">IF(AND(ISNUMBER($BF$306),$B$185=1),$BF$306,HLOOKUP(INDIRECT(ADDRESS(2,COLUMN())),OFFSET($BN$2,0,0,ROW()-1,60),ROW()-1,FALSE))</f>
        <v/>
      </c>
      <c r="BG109" t="str">
        <f ca="1">IF(AND(ISNUMBER($BG$306),$B$185=1),$BG$306,HLOOKUP(INDIRECT(ADDRESS(2,COLUMN())),OFFSET($BN$2,0,0,ROW()-1,60),ROW()-1,FALSE))</f>
        <v/>
      </c>
      <c r="BH109" t="str">
        <f ca="1">IF(AND(ISNUMBER($BH$306),$B$185=1),$BH$306,HLOOKUP(INDIRECT(ADDRESS(2,COLUMN())),OFFSET($BN$2,0,0,ROW()-1,60),ROW()-1,FALSE))</f>
        <v/>
      </c>
      <c r="BI109" t="str">
        <f ca="1">IF(AND(ISNUMBER($BI$306),$B$185=1),$BI$306,HLOOKUP(INDIRECT(ADDRESS(2,COLUMN())),OFFSET($BN$2,0,0,ROW()-1,60),ROW()-1,FALSE))</f>
        <v/>
      </c>
      <c r="BJ109" t="str">
        <f ca="1">IF(AND(ISNUMBER($BJ$306),$B$185=1),$BJ$306,HLOOKUP(INDIRECT(ADDRESS(2,COLUMN())),OFFSET($BN$2,0,0,ROW()-1,60),ROW()-1,FALSE))</f>
        <v/>
      </c>
      <c r="BK109" t="str">
        <f ca="1">IF(AND(ISNUMBER($BK$306),$B$185=1),$BK$306,HLOOKUP(INDIRECT(ADDRESS(2,COLUMN())),OFFSET($BN$2,0,0,ROW()-1,60),ROW()-1,FALSE))</f>
        <v/>
      </c>
      <c r="BL109" t="str">
        <f ca="1">IF(AND(ISNUMBER($BL$306),$B$185=1),$BL$306,HLOOKUP(INDIRECT(ADDRESS(2,COLUMN())),OFFSET($BN$2,0,0,ROW()-1,60),ROW()-1,FALSE))</f>
        <v/>
      </c>
      <c r="BM109" t="str">
        <f ca="1">IF(AND(ISNUMBER($BM$306),$B$185=1),$BM$306,HLOOKUP(INDIRECT(ADDRESS(2,COLUMN())),OFFSET($BN$2,0,0,ROW()-1,60),ROW()-1,FALSE))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  <c r="BT109" t="str">
        <f>""</f>
        <v/>
      </c>
      <c r="BU109" t="str">
        <f>""</f>
        <v/>
      </c>
      <c r="BV109" t="str">
        <f>""</f>
        <v/>
      </c>
      <c r="BW109" t="str">
        <f>""</f>
        <v/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  <c r="CH109" t="str">
        <f>""</f>
        <v/>
      </c>
      <c r="CI109" t="str">
        <f>""</f>
        <v/>
      </c>
      <c r="CJ109" t="str">
        <f>""</f>
        <v/>
      </c>
      <c r="CK109" t="str">
        <f>""</f>
        <v/>
      </c>
      <c r="CL109" t="str">
        <f>""</f>
        <v/>
      </c>
      <c r="CM109" t="str">
        <f>""</f>
        <v/>
      </c>
      <c r="CN109" t="str">
        <f>""</f>
        <v/>
      </c>
      <c r="CO109" t="str">
        <f>""</f>
        <v/>
      </c>
      <c r="CP109" t="str">
        <f>""</f>
        <v/>
      </c>
      <c r="CQ109" t="str">
        <f>""</f>
        <v/>
      </c>
      <c r="CR109" t="str">
        <f>""</f>
        <v/>
      </c>
      <c r="CS109" t="str">
        <f>""</f>
        <v/>
      </c>
      <c r="CT109" t="str">
        <f>""</f>
        <v/>
      </c>
      <c r="CU109" t="str">
        <f>""</f>
        <v/>
      </c>
      <c r="CV109" t="str">
        <f>""</f>
        <v/>
      </c>
      <c r="CW109" t="str">
        <f>""</f>
        <v/>
      </c>
      <c r="CX109" t="str">
        <f>""</f>
        <v/>
      </c>
      <c r="CY109" t="str">
        <f>""</f>
        <v/>
      </c>
      <c r="CZ109" t="str">
        <f>""</f>
        <v/>
      </c>
      <c r="DA109" t="str">
        <f>""</f>
        <v/>
      </c>
      <c r="DB109" t="str">
        <f>""</f>
        <v/>
      </c>
      <c r="DC109" t="str">
        <f>""</f>
        <v/>
      </c>
      <c r="DD109" t="str">
        <f>""</f>
        <v/>
      </c>
      <c r="DE109" t="str">
        <f>""</f>
        <v/>
      </c>
      <c r="DF109" t="str">
        <f>""</f>
        <v/>
      </c>
      <c r="DG109" t="str">
        <f>""</f>
        <v/>
      </c>
      <c r="DH109" t="str">
        <f>""</f>
        <v/>
      </c>
      <c r="DI109" t="str">
        <f>""</f>
        <v/>
      </c>
      <c r="DJ109" t="str">
        <f>""</f>
        <v/>
      </c>
      <c r="DK109" t="str">
        <f>""</f>
        <v/>
      </c>
      <c r="DL109" t="str">
        <f>""</f>
        <v/>
      </c>
      <c r="DM109" t="str">
        <f>""</f>
        <v/>
      </c>
      <c r="DN109" t="str">
        <f>""</f>
        <v/>
      </c>
      <c r="DO109" t="str">
        <f>""</f>
        <v/>
      </c>
      <c r="DP109" t="str">
        <f>""</f>
        <v/>
      </c>
      <c r="DQ109" t="str">
        <f>""</f>
        <v/>
      </c>
      <c r="DR109" t="str">
        <f>""</f>
        <v/>
      </c>
      <c r="DS109" t="str">
        <f>""</f>
        <v/>
      </c>
      <c r="DT109" t="str">
        <f>""</f>
        <v/>
      </c>
      <c r="DU109" t="str">
        <f>""</f>
        <v/>
      </c>
    </row>
    <row r="110" spans="1:125">
      <c r="A110" t="str">
        <f>"    First Republic Bank/CA"</f>
        <v xml:space="preserve">    First Republic Bank/CA</v>
      </c>
      <c r="B110" t="str">
        <f>"FRCB US Equity"</f>
        <v>FRCB US Equity</v>
      </c>
      <c r="C110" t="str">
        <f t="shared" si="13"/>
        <v>BS960</v>
      </c>
      <c r="D110" t="str">
        <f t="shared" si="14"/>
        <v>BS_RESIDENT_MTG_SERVICED_OTHERS</v>
      </c>
      <c r="E110" t="str">
        <f t="shared" si="15"/>
        <v>Dynamic</v>
      </c>
      <c r="F110" t="str">
        <f ca="1">IF(AND(ISNUMBER($F$307),$B$185=1),$F$307,HLOOKUP(INDIRECT(ADDRESS(2,COLUMN())),OFFSET($BN$2,0,0,ROW()-1,60),ROW()-1,FALSE))</f>
        <v/>
      </c>
      <c r="G110" t="str">
        <f ca="1">IF(AND(ISNUMBER($G$307),$B$185=1),$G$307,HLOOKUP(INDIRECT(ADDRESS(2,COLUMN())),OFFSET($BN$2,0,0,ROW()-1,60),ROW()-1,FALSE))</f>
        <v/>
      </c>
      <c r="H110" t="str">
        <f ca="1">IF(AND(ISNUMBER($H$307),$B$185=1),$H$307,HLOOKUP(INDIRECT(ADDRESS(2,COLUMN())),OFFSET($BN$2,0,0,ROW()-1,60),ROW()-1,FALSE))</f>
        <v/>
      </c>
      <c r="I110" t="str">
        <f ca="1">IF(AND(ISNUMBER($I$307),$B$185=1),$I$307,HLOOKUP(INDIRECT(ADDRESS(2,COLUMN())),OFFSET($BN$2,0,0,ROW()-1,60),ROW()-1,FALSE))</f>
        <v/>
      </c>
      <c r="J110" t="str">
        <f ca="1">IF(AND(ISNUMBER($J$307),$B$185=1),$J$307,HLOOKUP(INDIRECT(ADDRESS(2,COLUMN())),OFFSET($BN$2,0,0,ROW()-1,60),ROW()-1,FALSE))</f>
        <v/>
      </c>
      <c r="K110" t="str">
        <f ca="1">IF(AND(ISNUMBER($K$307),$B$185=1),$K$307,HLOOKUP(INDIRECT(ADDRESS(2,COLUMN())),OFFSET($BN$2,0,0,ROW()-1,60),ROW()-1,FALSE))</f>
        <v/>
      </c>
      <c r="L110" t="str">
        <f ca="1">IF(AND(ISNUMBER($L$307),$B$185=1),$L$307,HLOOKUP(INDIRECT(ADDRESS(2,COLUMN())),OFFSET($BN$2,0,0,ROW()-1,60),ROW()-1,FALSE))</f>
        <v/>
      </c>
      <c r="M110" t="str">
        <f ca="1">IF(AND(ISNUMBER($M$307),$B$185=1),$M$307,HLOOKUP(INDIRECT(ADDRESS(2,COLUMN())),OFFSET($BN$2,0,0,ROW()-1,60),ROW()-1,FALSE))</f>
        <v/>
      </c>
      <c r="N110" t="str">
        <f ca="1">IF(AND(ISNUMBER($N$307),$B$185=1),$N$307,HLOOKUP(INDIRECT(ADDRESS(2,COLUMN())),OFFSET($BN$2,0,0,ROW()-1,60),ROW()-1,FALSE))</f>
        <v/>
      </c>
      <c r="O110" t="str">
        <f ca="1">IF(AND(ISNUMBER($O$307),$B$185=1),$O$307,HLOOKUP(INDIRECT(ADDRESS(2,COLUMN())),OFFSET($BN$2,0,0,ROW()-1,60),ROW()-1,FALSE))</f>
        <v/>
      </c>
      <c r="P110" t="str">
        <f ca="1">IF(AND(ISNUMBER($P$307),$B$185=1),$P$307,HLOOKUP(INDIRECT(ADDRESS(2,COLUMN())),OFFSET($BN$2,0,0,ROW()-1,60),ROW()-1,FALSE))</f>
        <v/>
      </c>
      <c r="Q110" t="str">
        <f ca="1">IF(AND(ISNUMBER($Q$307),$B$185=1),$Q$307,HLOOKUP(INDIRECT(ADDRESS(2,COLUMN())),OFFSET($BN$2,0,0,ROW()-1,60),ROW()-1,FALSE))</f>
        <v/>
      </c>
      <c r="R110" t="str">
        <f ca="1">IF(AND(ISNUMBER($R$307),$B$185=1),$R$307,HLOOKUP(INDIRECT(ADDRESS(2,COLUMN())),OFFSET($BN$2,0,0,ROW()-1,60),ROW()-1,FALSE))</f>
        <v/>
      </c>
      <c r="S110" t="str">
        <f ca="1">IF(AND(ISNUMBER($S$307),$B$185=1),$S$307,HLOOKUP(INDIRECT(ADDRESS(2,COLUMN())),OFFSET($BN$2,0,0,ROW()-1,60),ROW()-1,FALSE))</f>
        <v/>
      </c>
      <c r="T110" t="str">
        <f ca="1">IF(AND(ISNUMBER($T$307),$B$185=1),$T$307,HLOOKUP(INDIRECT(ADDRESS(2,COLUMN())),OFFSET($BN$2,0,0,ROW()-1,60),ROW()-1,FALSE))</f>
        <v/>
      </c>
      <c r="U110" t="str">
        <f ca="1">IF(AND(ISNUMBER($U$307),$B$185=1),$U$307,HLOOKUP(INDIRECT(ADDRESS(2,COLUMN())),OFFSET($BN$2,0,0,ROW()-1,60),ROW()-1,FALSE))</f>
        <v/>
      </c>
      <c r="V110" t="str">
        <f ca="1">IF(AND(ISNUMBER($V$307),$B$185=1),$V$307,HLOOKUP(INDIRECT(ADDRESS(2,COLUMN())),OFFSET($BN$2,0,0,ROW()-1,60),ROW()-1,FALSE))</f>
        <v/>
      </c>
      <c r="W110" t="str">
        <f ca="1">IF(AND(ISNUMBER($W$307),$B$185=1),$W$307,HLOOKUP(INDIRECT(ADDRESS(2,COLUMN())),OFFSET($BN$2,0,0,ROW()-1,60),ROW()-1,FALSE))</f>
        <v/>
      </c>
      <c r="X110" t="str">
        <f ca="1">IF(AND(ISNUMBER($X$307),$B$185=1),$X$307,HLOOKUP(INDIRECT(ADDRESS(2,COLUMN())),OFFSET($BN$2,0,0,ROW()-1,60),ROW()-1,FALSE))</f>
        <v/>
      </c>
      <c r="Y110" t="str">
        <f ca="1">IF(AND(ISNUMBER($Y$307),$B$185=1),$Y$307,HLOOKUP(INDIRECT(ADDRESS(2,COLUMN())),OFFSET($BN$2,0,0,ROW()-1,60),ROW()-1,FALSE))</f>
        <v/>
      </c>
      <c r="Z110" t="str">
        <f ca="1">IF(AND(ISNUMBER($Z$307),$B$185=1),$Z$307,HLOOKUP(INDIRECT(ADDRESS(2,COLUMN())),OFFSET($BN$2,0,0,ROW()-1,60),ROW()-1,FALSE))</f>
        <v/>
      </c>
      <c r="AA110" t="str">
        <f ca="1">IF(AND(ISNUMBER($AA$307),$B$185=1),$AA$307,HLOOKUP(INDIRECT(ADDRESS(2,COLUMN())),OFFSET($BN$2,0,0,ROW()-1,60),ROW()-1,FALSE))</f>
        <v/>
      </c>
      <c r="AB110" t="str">
        <f ca="1">IF(AND(ISNUMBER($AB$307),$B$185=1),$AB$307,HLOOKUP(INDIRECT(ADDRESS(2,COLUMN())),OFFSET($BN$2,0,0,ROW()-1,60),ROW()-1,FALSE))</f>
        <v/>
      </c>
      <c r="AC110" t="str">
        <f ca="1">IF(AND(ISNUMBER($AC$307),$B$185=1),$AC$307,HLOOKUP(INDIRECT(ADDRESS(2,COLUMN())),OFFSET($BN$2,0,0,ROW()-1,60),ROW()-1,FALSE))</f>
        <v/>
      </c>
      <c r="AD110" t="str">
        <f ca="1">IF(AND(ISNUMBER($AD$307),$B$185=1),$AD$307,HLOOKUP(INDIRECT(ADDRESS(2,COLUMN())),OFFSET($BN$2,0,0,ROW()-1,60),ROW()-1,FALSE))</f>
        <v/>
      </c>
      <c r="AE110" t="str">
        <f ca="1">IF(AND(ISNUMBER($AE$307),$B$185=1),$AE$307,HLOOKUP(INDIRECT(ADDRESS(2,COLUMN())),OFFSET($BN$2,0,0,ROW()-1,60),ROW()-1,FALSE))</f>
        <v/>
      </c>
      <c r="AF110" t="str">
        <f ca="1">IF(AND(ISNUMBER($AF$307),$B$185=1),$AF$307,HLOOKUP(INDIRECT(ADDRESS(2,COLUMN())),OFFSET($BN$2,0,0,ROW()-1,60),ROW()-1,FALSE))</f>
        <v/>
      </c>
      <c r="AG110" t="str">
        <f ca="1">IF(AND(ISNUMBER($AG$307),$B$185=1),$AG$307,HLOOKUP(INDIRECT(ADDRESS(2,COLUMN())),OFFSET($BN$2,0,0,ROW()-1,60),ROW()-1,FALSE))</f>
        <v/>
      </c>
      <c r="AH110" t="str">
        <f ca="1">IF(AND(ISNUMBER($AH$307),$B$185=1),$AH$307,HLOOKUP(INDIRECT(ADDRESS(2,COLUMN())),OFFSET($BN$2,0,0,ROW()-1,60),ROW()-1,FALSE))</f>
        <v/>
      </c>
      <c r="AI110" t="str">
        <f ca="1">IF(AND(ISNUMBER($AI$307),$B$185=1),$AI$307,HLOOKUP(INDIRECT(ADDRESS(2,COLUMN())),OFFSET($BN$2,0,0,ROW()-1,60),ROW()-1,FALSE))</f>
        <v/>
      </c>
      <c r="AJ110" t="str">
        <f ca="1">IF(AND(ISNUMBER($AJ$307),$B$185=1),$AJ$307,HLOOKUP(INDIRECT(ADDRESS(2,COLUMN())),OFFSET($BN$2,0,0,ROW()-1,60),ROW()-1,FALSE))</f>
        <v/>
      </c>
      <c r="AK110" t="str">
        <f ca="1">IF(AND(ISNUMBER($AK$307),$B$185=1),$AK$307,HLOOKUP(INDIRECT(ADDRESS(2,COLUMN())),OFFSET($BN$2,0,0,ROW()-1,60),ROW()-1,FALSE))</f>
        <v/>
      </c>
      <c r="AL110" t="str">
        <f ca="1">IF(AND(ISNUMBER($AL$307),$B$185=1),$AL$307,HLOOKUP(INDIRECT(ADDRESS(2,COLUMN())),OFFSET($BN$2,0,0,ROW()-1,60),ROW()-1,FALSE))</f>
        <v/>
      </c>
      <c r="AM110" t="str">
        <f ca="1">IF(AND(ISNUMBER($AM$307),$B$185=1),$AM$307,HLOOKUP(INDIRECT(ADDRESS(2,COLUMN())),OFFSET($BN$2,0,0,ROW()-1,60),ROW()-1,FALSE))</f>
        <v/>
      </c>
      <c r="AN110" t="str">
        <f ca="1">IF(AND(ISNUMBER($AN$307),$B$185=1),$AN$307,HLOOKUP(INDIRECT(ADDRESS(2,COLUMN())),OFFSET($BN$2,0,0,ROW()-1,60),ROW()-1,FALSE))</f>
        <v/>
      </c>
      <c r="AO110" t="str">
        <f ca="1">IF(AND(ISNUMBER($AO$307),$B$185=1),$AO$307,HLOOKUP(INDIRECT(ADDRESS(2,COLUMN())),OFFSET($BN$2,0,0,ROW()-1,60),ROW()-1,FALSE))</f>
        <v/>
      </c>
      <c r="AP110" t="str">
        <f ca="1">IF(AND(ISNUMBER($AP$307),$B$185=1),$AP$307,HLOOKUP(INDIRECT(ADDRESS(2,COLUMN())),OFFSET($BN$2,0,0,ROW()-1,60),ROW()-1,FALSE))</f>
        <v/>
      </c>
      <c r="AQ110" t="str">
        <f ca="1">IF(AND(ISNUMBER($AQ$307),$B$185=1),$AQ$307,HLOOKUP(INDIRECT(ADDRESS(2,COLUMN())),OFFSET($BN$2,0,0,ROW()-1,60),ROW()-1,FALSE))</f>
        <v/>
      </c>
      <c r="AR110" t="str">
        <f ca="1">IF(AND(ISNUMBER($AR$307),$B$185=1),$AR$307,HLOOKUP(INDIRECT(ADDRESS(2,COLUMN())),OFFSET($BN$2,0,0,ROW()-1,60),ROW()-1,FALSE))</f>
        <v/>
      </c>
      <c r="AS110" t="str">
        <f ca="1">IF(AND(ISNUMBER($AS$307),$B$185=1),$AS$307,HLOOKUP(INDIRECT(ADDRESS(2,COLUMN())),OFFSET($BN$2,0,0,ROW()-1,60),ROW()-1,FALSE))</f>
        <v/>
      </c>
      <c r="AT110" t="str">
        <f ca="1">IF(AND(ISNUMBER($AT$307),$B$185=1),$AT$307,HLOOKUP(INDIRECT(ADDRESS(2,COLUMN())),OFFSET($BN$2,0,0,ROW()-1,60),ROW()-1,FALSE))</f>
        <v/>
      </c>
      <c r="AU110" t="str">
        <f ca="1">IF(AND(ISNUMBER($AU$307),$B$185=1),$AU$307,HLOOKUP(INDIRECT(ADDRESS(2,COLUMN())),OFFSET($BN$2,0,0,ROW()-1,60),ROW()-1,FALSE))</f>
        <v/>
      </c>
      <c r="AV110" t="str">
        <f ca="1">IF(AND(ISNUMBER($AV$307),$B$185=1),$AV$307,HLOOKUP(INDIRECT(ADDRESS(2,COLUMN())),OFFSET($BN$2,0,0,ROW()-1,60),ROW()-1,FALSE))</f>
        <v/>
      </c>
      <c r="AW110" t="str">
        <f ca="1">IF(AND(ISNUMBER($AW$307),$B$185=1),$AW$307,HLOOKUP(INDIRECT(ADDRESS(2,COLUMN())),OFFSET($BN$2,0,0,ROW()-1,60),ROW()-1,FALSE))</f>
        <v/>
      </c>
      <c r="AX110" t="str">
        <f ca="1">IF(AND(ISNUMBER($AX$307),$B$185=1),$AX$307,HLOOKUP(INDIRECT(ADDRESS(2,COLUMN())),OFFSET($BN$2,0,0,ROW()-1,60),ROW()-1,FALSE))</f>
        <v/>
      </c>
      <c r="AY110" t="str">
        <f ca="1">IF(AND(ISNUMBER($AY$307),$B$185=1),$AY$307,HLOOKUP(INDIRECT(ADDRESS(2,COLUMN())),OFFSET($BN$2,0,0,ROW()-1,60),ROW()-1,FALSE))</f>
        <v/>
      </c>
      <c r="AZ110" t="str">
        <f ca="1">IF(AND(ISNUMBER($AZ$307),$B$185=1),$AZ$307,HLOOKUP(INDIRECT(ADDRESS(2,COLUMN())),OFFSET($BN$2,0,0,ROW()-1,60),ROW()-1,FALSE))</f>
        <v/>
      </c>
      <c r="BA110" t="str">
        <f ca="1">IF(AND(ISNUMBER($BA$307),$B$185=1),$BA$307,HLOOKUP(INDIRECT(ADDRESS(2,COLUMN())),OFFSET($BN$2,0,0,ROW()-1,60),ROW()-1,FALSE))</f>
        <v/>
      </c>
      <c r="BB110" t="str">
        <f ca="1">IF(AND(ISNUMBER($BB$307),$B$185=1),$BB$307,HLOOKUP(INDIRECT(ADDRESS(2,COLUMN())),OFFSET($BN$2,0,0,ROW()-1,60),ROW()-1,FALSE))</f>
        <v/>
      </c>
      <c r="BC110" t="str">
        <f ca="1">IF(AND(ISNUMBER($BC$307),$B$185=1),$BC$307,HLOOKUP(INDIRECT(ADDRESS(2,COLUMN())),OFFSET($BN$2,0,0,ROW()-1,60),ROW()-1,FALSE))</f>
        <v/>
      </c>
      <c r="BD110" t="str">
        <f ca="1">IF(AND(ISNUMBER($BD$307),$B$185=1),$BD$307,HLOOKUP(INDIRECT(ADDRESS(2,COLUMN())),OFFSET($BN$2,0,0,ROW()-1,60),ROW()-1,FALSE))</f>
        <v/>
      </c>
      <c r="BE110" t="str">
        <f ca="1">IF(AND(ISNUMBER($BE$307),$B$185=1),$BE$307,HLOOKUP(INDIRECT(ADDRESS(2,COLUMN())),OFFSET($BN$2,0,0,ROW()-1,60),ROW()-1,FALSE))</f>
        <v/>
      </c>
      <c r="BF110" t="str">
        <f ca="1">IF(AND(ISNUMBER($BF$307),$B$185=1),$BF$307,HLOOKUP(INDIRECT(ADDRESS(2,COLUMN())),OFFSET($BN$2,0,0,ROW()-1,60),ROW()-1,FALSE))</f>
        <v/>
      </c>
      <c r="BG110" t="str">
        <f ca="1">IF(AND(ISNUMBER($BG$307),$B$185=1),$BG$307,HLOOKUP(INDIRECT(ADDRESS(2,COLUMN())),OFFSET($BN$2,0,0,ROW()-1,60),ROW()-1,FALSE))</f>
        <v/>
      </c>
      <c r="BH110" t="str">
        <f ca="1">IF(AND(ISNUMBER($BH$307),$B$185=1),$BH$307,HLOOKUP(INDIRECT(ADDRESS(2,COLUMN())),OFFSET($BN$2,0,0,ROW()-1,60),ROW()-1,FALSE))</f>
        <v/>
      </c>
      <c r="BI110" t="str">
        <f ca="1">IF(AND(ISNUMBER($BI$307),$B$185=1),$BI$307,HLOOKUP(INDIRECT(ADDRESS(2,COLUMN())),OFFSET($BN$2,0,0,ROW()-1,60),ROW()-1,FALSE))</f>
        <v/>
      </c>
      <c r="BJ110" t="str">
        <f ca="1">IF(AND(ISNUMBER($BJ$307),$B$185=1),$BJ$307,HLOOKUP(INDIRECT(ADDRESS(2,COLUMN())),OFFSET($BN$2,0,0,ROW()-1,60),ROW()-1,FALSE))</f>
        <v/>
      </c>
      <c r="BK110" t="str">
        <f ca="1">IF(AND(ISNUMBER($BK$307),$B$185=1),$BK$307,HLOOKUP(INDIRECT(ADDRESS(2,COLUMN())),OFFSET($BN$2,0,0,ROW()-1,60),ROW()-1,FALSE))</f>
        <v/>
      </c>
      <c r="BL110" t="str">
        <f ca="1">IF(AND(ISNUMBER($BL$307),$B$185=1),$BL$307,HLOOKUP(INDIRECT(ADDRESS(2,COLUMN())),OFFSET($BN$2,0,0,ROW()-1,60),ROW()-1,FALSE))</f>
        <v/>
      </c>
      <c r="BM110" t="str">
        <f ca="1">IF(AND(ISNUMBER($BM$307),$B$185=1),$BM$307,HLOOKUP(INDIRECT(ADDRESS(2,COLUMN())),OFFSET($BN$2,0,0,ROW()-1,60),ROW()-1,FALSE))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  <c r="CH110" t="str">
        <f>""</f>
        <v/>
      </c>
      <c r="CI110" t="str">
        <f>""</f>
        <v/>
      </c>
      <c r="CJ110" t="str">
        <f>""</f>
        <v/>
      </c>
      <c r="CK110" t="str">
        <f>""</f>
        <v/>
      </c>
      <c r="CL110" t="str">
        <f>""</f>
        <v/>
      </c>
      <c r="CM110" t="str">
        <f>""</f>
        <v/>
      </c>
      <c r="CN110" t="str">
        <f>""</f>
        <v/>
      </c>
      <c r="CO110" t="str">
        <f>""</f>
        <v/>
      </c>
      <c r="CP110" t="str">
        <f>""</f>
        <v/>
      </c>
      <c r="CQ110" t="str">
        <f>""</f>
        <v/>
      </c>
      <c r="CR110" t="str">
        <f>""</f>
        <v/>
      </c>
      <c r="CS110" t="str">
        <f>""</f>
        <v/>
      </c>
      <c r="CT110" t="str">
        <f>""</f>
        <v/>
      </c>
      <c r="CU110" t="str">
        <f>""</f>
        <v/>
      </c>
      <c r="CV110" t="str">
        <f>""</f>
        <v/>
      </c>
      <c r="CW110" t="str">
        <f>""</f>
        <v/>
      </c>
      <c r="CX110" t="str">
        <f>""</f>
        <v/>
      </c>
      <c r="CY110" t="str">
        <f>""</f>
        <v/>
      </c>
      <c r="CZ110" t="str">
        <f>""</f>
        <v/>
      </c>
      <c r="DA110" t="str">
        <f>""</f>
        <v/>
      </c>
      <c r="DB110" t="str">
        <f>""</f>
        <v/>
      </c>
      <c r="DC110" t="str">
        <f>""</f>
        <v/>
      </c>
      <c r="DD110" t="str">
        <f>""</f>
        <v/>
      </c>
      <c r="DE110" t="str">
        <f>""</f>
        <v/>
      </c>
      <c r="DF110" t="str">
        <f>""</f>
        <v/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  <c r="DT110" t="str">
        <f>""</f>
        <v/>
      </c>
      <c r="DU110" t="str">
        <f>""</f>
        <v/>
      </c>
    </row>
    <row r="111" spans="1:125">
      <c r="A111" t="str">
        <f>"    Fifth Third Bancorp"</f>
        <v xml:space="preserve">    Fifth Third Bancorp</v>
      </c>
      <c r="B111" t="str">
        <f>"FITB US Equity"</f>
        <v>FITB US Equity</v>
      </c>
      <c r="C111" t="str">
        <f t="shared" si="13"/>
        <v>BS960</v>
      </c>
      <c r="D111" t="str">
        <f t="shared" si="14"/>
        <v>BS_RESIDENT_MTG_SERVICED_OTHERS</v>
      </c>
      <c r="E111" t="str">
        <f t="shared" si="15"/>
        <v>Dynamic</v>
      </c>
      <c r="F111">
        <f ca="1">IF(AND(ISNUMBER($F$308),$B$185=1),$F$308,HLOOKUP(INDIRECT(ADDRESS(2,COLUMN())),OFFSET($BN$2,0,0,ROW()-1,60),ROW()-1,FALSE))</f>
        <v>94225</v>
      </c>
      <c r="G111">
        <f ca="1">IF(AND(ISNUMBER($G$308),$B$185=1),$G$308,HLOOKUP(INDIRECT(ADDRESS(2,COLUMN())),OFFSET($BN$2,0,0,ROW()-1,60),ROW()-1,FALSE))</f>
        <v>95808</v>
      </c>
      <c r="H111">
        <f ca="1">IF(AND(ISNUMBER($H$308),$B$185=1),$H$308,HLOOKUP(INDIRECT(ADDRESS(2,COLUMN())),OFFSET($BN$2,0,0,ROW()-1,60),ROW()-1,FALSE))</f>
        <v>97280</v>
      </c>
      <c r="I111">
        <f ca="1">IF(AND(ISNUMBER($I$308),$B$185=1),$I$308,HLOOKUP(INDIRECT(ADDRESS(2,COLUMN())),OFFSET($BN$2,0,0,ROW()-1,60),ROW()-1,FALSE))</f>
        <v>99596</v>
      </c>
      <c r="J111">
        <f ca="1">IF(AND(ISNUMBER($J$308),$B$185=1),$J$308,HLOOKUP(INDIRECT(ADDRESS(2,COLUMN())),OFFSET($BN$2,0,0,ROW()-1,60),ROW()-1,FALSE))</f>
        <v>100842</v>
      </c>
      <c r="K111">
        <f ca="1">IF(AND(ISNUMBER($K$308),$B$185=1),$K$308,HLOOKUP(INDIRECT(ADDRESS(2,COLUMN())),OFFSET($BN$2,0,0,ROW()-1,60),ROW()-1,FALSE))</f>
        <v>101889</v>
      </c>
      <c r="L111">
        <f ca="1">IF(AND(ISNUMBER($L$308),$B$185=1),$L$308,HLOOKUP(INDIRECT(ADDRESS(2,COLUMN())),OFFSET($BN$2,0,0,ROW()-1,60),ROW()-1,FALSE))</f>
        <v>102817</v>
      </c>
      <c r="M111">
        <f ca="1">IF(AND(ISNUMBER($M$308),$B$185=1),$M$308,HLOOKUP(INDIRECT(ADDRESS(2,COLUMN())),OFFSET($BN$2,0,0,ROW()-1,60),ROW()-1,FALSE))</f>
        <v>103399</v>
      </c>
      <c r="N111">
        <f ca="1">IF(AND(ISNUMBER($N$308),$B$185=1),$N$308,HLOOKUP(INDIRECT(ADDRESS(2,COLUMN())),OFFSET($BN$2,0,0,ROW()-1,60),ROW()-1,FALSE))</f>
        <v>103154</v>
      </c>
      <c r="O111">
        <f ca="1">IF(AND(ISNUMBER($O$308),$B$185=1),$O$308,HLOOKUP(INDIRECT(ADDRESS(2,COLUMN())),OFFSET($BN$2,0,0,ROW()-1,60),ROW()-1,FALSE))</f>
        <v>102696</v>
      </c>
      <c r="P111">
        <f ca="1">IF(AND(ISNUMBER($P$308),$B$185=1),$P$308,HLOOKUP(INDIRECT(ADDRESS(2,COLUMN())),OFFSET($BN$2,0,0,ROW()-1,60),ROW()-1,FALSE))</f>
        <v>100519</v>
      </c>
      <c r="Q111">
        <f ca="1">IF(AND(ISNUMBER($Q$308),$B$185=1),$Q$308,HLOOKUP(INDIRECT(ADDRESS(2,COLUMN())),OFFSET($BN$2,0,0,ROW()-1,60),ROW()-1,FALSE))</f>
        <v>97736</v>
      </c>
      <c r="R111">
        <f ca="1">IF(AND(ISNUMBER($R$308),$B$185=1),$R$308,HLOOKUP(INDIRECT(ADDRESS(2,COLUMN())),OFFSET($BN$2,0,0,ROW()-1,60),ROW()-1,FALSE))</f>
        <v>89234</v>
      </c>
      <c r="S111">
        <f ca="1">IF(AND(ISNUMBER($S$308),$B$185=1),$S$308,HLOOKUP(INDIRECT(ADDRESS(2,COLUMN())),OFFSET($BN$2,0,0,ROW()-1,60),ROW()-1,FALSE))</f>
        <v>77900</v>
      </c>
      <c r="T111">
        <f ca="1">IF(AND(ISNUMBER($T$308),$B$185=1),$T$308,HLOOKUP(INDIRECT(ADDRESS(2,COLUMN())),OFFSET($BN$2,0,0,ROW()-1,60),ROW()-1,FALSE))</f>
        <v>71.5</v>
      </c>
      <c r="U111">
        <f ca="1">IF(AND(ISNUMBER($U$308),$B$185=1),$U$308,HLOOKUP(INDIRECT(ADDRESS(2,COLUMN())),OFFSET($BN$2,0,0,ROW()-1,60),ROW()-1,FALSE))</f>
        <v>65922</v>
      </c>
      <c r="V111">
        <f ca="1">IF(AND(ISNUMBER($V$308),$B$185=1),$V$308,HLOOKUP(INDIRECT(ADDRESS(2,COLUMN())),OFFSET($BN$2,0,0,ROW()-1,60),ROW()-1,FALSE))</f>
        <v>68800</v>
      </c>
      <c r="W111">
        <f ca="1">IF(AND(ISNUMBER($W$308),$B$185=1),$W$308,HLOOKUP(INDIRECT(ADDRESS(2,COLUMN())),OFFSET($BN$2,0,0,ROW()-1,60),ROW()-1,FALSE))</f>
        <v>73500</v>
      </c>
      <c r="X111">
        <f ca="1">IF(AND(ISNUMBER($X$308),$B$185=1),$X$308,HLOOKUP(INDIRECT(ADDRESS(2,COLUMN())),OFFSET($BN$2,0,0,ROW()-1,60),ROW()-1,FALSE))</f>
        <v>78800</v>
      </c>
      <c r="Y111">
        <f ca="1">IF(AND(ISNUMBER($Y$308),$B$185=1),$Y$308,HLOOKUP(INDIRECT(ADDRESS(2,COLUMN())),OFFSET($BN$2,0,0,ROW()-1,60),ROW()-1,FALSE))</f>
        <v>81901</v>
      </c>
      <c r="Z111">
        <f ca="1">IF(AND(ISNUMBER($Z$308),$B$185=1),$Z$308,HLOOKUP(INDIRECT(ADDRESS(2,COLUMN())),OFFSET($BN$2,0,0,ROW()-1,60),ROW()-1,FALSE))</f>
        <v>80734</v>
      </c>
      <c r="AA111">
        <f ca="1">IF(AND(ISNUMBER($AA$308),$B$185=1),$AA$308,HLOOKUP(INDIRECT(ADDRESS(2,COLUMN())),OFFSET($BN$2,0,0,ROW()-1,60),ROW()-1,FALSE))</f>
        <v>16736</v>
      </c>
      <c r="AB111">
        <f ca="1">IF(AND(ISNUMBER($AB$308),$B$185=1),$AB$308,HLOOKUP(INDIRECT(ADDRESS(2,COLUMN())),OFFSET($BN$2,0,0,ROW()-1,60),ROW()-1,FALSE))</f>
        <v>102400</v>
      </c>
      <c r="AC111">
        <f ca="1">IF(AND(ISNUMBER($AC$308),$B$185=1),$AC$308,HLOOKUP(INDIRECT(ADDRESS(2,COLUMN())),OFFSET($BN$2,0,0,ROW()-1,60),ROW()-1,FALSE))</f>
        <v>83900</v>
      </c>
      <c r="AD111">
        <f ca="1">IF(AND(ISNUMBER($AD$308),$B$185=1),$AD$308,HLOOKUP(INDIRECT(ADDRESS(2,COLUMN())),OFFSET($BN$2,0,0,ROW()-1,60),ROW()-1,FALSE))</f>
        <v>63154</v>
      </c>
      <c r="AE111">
        <f ca="1">IF(AND(ISNUMBER($AE$308),$B$185=1),$AE$308,HLOOKUP(INDIRECT(ADDRESS(2,COLUMN())),OFFSET($BN$2,0,0,ROW()-1,60),ROW()-1,FALSE))</f>
        <v>64000</v>
      </c>
      <c r="AF111">
        <f ca="1">IF(AND(ISNUMBER($AF$308),$B$185=1),$AF$308,HLOOKUP(INDIRECT(ADDRESS(2,COLUMN())),OFFSET($BN$2,0,0,ROW()-1,60),ROW()-1,FALSE))</f>
        <v>62200</v>
      </c>
      <c r="AG111">
        <f ca="1">IF(AND(ISNUMBER($AG$308),$B$185=1),$AG$308,HLOOKUP(INDIRECT(ADDRESS(2,COLUMN())),OFFSET($BN$2,0,0,ROW()-1,60),ROW()-1,FALSE))</f>
        <v>60973</v>
      </c>
      <c r="AH111">
        <f ca="1">IF(AND(ISNUMBER($AH$308),$B$185=1),$AH$308,HLOOKUP(INDIRECT(ADDRESS(2,COLUMN())),OFFSET($BN$2,0,0,ROW()-1,60),ROW()-1,FALSE))</f>
        <v>60021</v>
      </c>
      <c r="AI111">
        <f ca="1">IF(AND(ISNUMBER($AI$308),$B$185=1),$AI$308,HLOOKUP(INDIRECT(ADDRESS(2,COLUMN())),OFFSET($BN$2,0,0,ROW()-1,60),ROW()-1,FALSE))</f>
        <v>60800</v>
      </c>
      <c r="AJ111">
        <f ca="1">IF(AND(ISNUMBER($AJ$308),$B$185=1),$AJ$308,HLOOKUP(INDIRECT(ADDRESS(2,COLUMN())),OFFSET($BN$2,0,0,ROW()-1,60),ROW()-1,FALSE))</f>
        <v>61800</v>
      </c>
      <c r="AK111">
        <f ca="1">IF(AND(ISNUMBER($AK$308),$B$185=1),$AK$308,HLOOKUP(INDIRECT(ADDRESS(2,COLUMN())),OFFSET($BN$2,0,0,ROW()-1,60),ROW()-1,FALSE))</f>
        <v>55413</v>
      </c>
      <c r="AL111">
        <f ca="1">IF(AND(ISNUMBER($AL$308),$B$185=1),$AL$308,HLOOKUP(INDIRECT(ADDRESS(2,COLUMN())),OFFSET($BN$2,0,0,ROW()-1,60),ROW()-1,FALSE))</f>
        <v>53554</v>
      </c>
      <c r="AM111">
        <f ca="1">IF(AND(ISNUMBER($AM$308),$B$185=1),$AM$308,HLOOKUP(INDIRECT(ADDRESS(2,COLUMN())),OFFSET($BN$2,0,0,ROW()-1,60),ROW()-1,FALSE))</f>
        <v>54600</v>
      </c>
      <c r="AN111">
        <f ca="1">IF(AND(ISNUMBER($AN$308),$B$185=1),$AN$308,HLOOKUP(INDIRECT(ADDRESS(2,COLUMN())),OFFSET($BN$2,0,0,ROW()-1,60),ROW()-1,FALSE))</f>
        <v>56200</v>
      </c>
      <c r="AO111">
        <f ca="1">IF(AND(ISNUMBER($AO$308),$B$185=1),$AO$308,HLOOKUP(INDIRECT(ADDRESS(2,COLUMN())),OFFSET($BN$2,0,0,ROW()-1,60),ROW()-1,FALSE))</f>
        <v>57800</v>
      </c>
      <c r="AP111">
        <f ca="1">IF(AND(ISNUMBER($AP$308),$B$185=1),$AP$308,HLOOKUP(INDIRECT(ADDRESS(2,COLUMN())),OFFSET($BN$2,0,0,ROW()-1,60),ROW()-1,FALSE))</f>
        <v>59000</v>
      </c>
      <c r="AQ111">
        <f ca="1">IF(AND(ISNUMBER($AQ$308),$B$185=1),$AQ$308,HLOOKUP(INDIRECT(ADDRESS(2,COLUMN())),OFFSET($BN$2,0,0,ROW()-1,60),ROW()-1,FALSE))</f>
        <v>60300</v>
      </c>
      <c r="AR111">
        <f ca="1">IF(AND(ISNUMBER($AR$308),$B$185=1),$AR$308,HLOOKUP(INDIRECT(ADDRESS(2,COLUMN())),OFFSET($BN$2,0,0,ROW()-1,60),ROW()-1,FALSE))</f>
        <v>61700</v>
      </c>
      <c r="AS111">
        <f ca="1">IF(AND(ISNUMBER($AS$308),$B$185=1),$AS$308,HLOOKUP(INDIRECT(ADDRESS(2,COLUMN())),OFFSET($BN$2,0,0,ROW()-1,60),ROW()-1,FALSE))</f>
        <v>64.2</v>
      </c>
      <c r="AT111">
        <f ca="1">IF(AND(ISNUMBER($AT$308),$B$185=1),$AT$308,HLOOKUP(INDIRECT(ADDRESS(2,COLUMN())),OFFSET($BN$2,0,0,ROW()-1,60),ROW()-1,FALSE))</f>
        <v>65400</v>
      </c>
      <c r="AU111">
        <f ca="1">IF(AND(ISNUMBER($AU$308),$B$185=1),$AU$308,HLOOKUP(INDIRECT(ADDRESS(2,COLUMN())),OFFSET($BN$2,0,0,ROW()-1,60),ROW()-1,FALSE))</f>
        <v>66808</v>
      </c>
      <c r="AV111">
        <f ca="1">IF(AND(ISNUMBER($AV$308),$B$185=1),$AV$308,HLOOKUP(INDIRECT(ADDRESS(2,COLUMN())),OFFSET($BN$2,0,0,ROW()-1,60),ROW()-1,FALSE))</f>
        <v>68100</v>
      </c>
      <c r="AW111">
        <f ca="1">IF(AND(ISNUMBER($AW$308),$B$185=1),$AW$308,HLOOKUP(INDIRECT(ADDRESS(2,COLUMN())),OFFSET($BN$2,0,0,ROW()-1,60),ROW()-1,FALSE))</f>
        <v>68900</v>
      </c>
      <c r="AX111">
        <f ca="1">IF(AND(ISNUMBER($AX$308),$B$185=1),$AX$308,HLOOKUP(INDIRECT(ADDRESS(2,COLUMN())),OFFSET($BN$2,0,0,ROW()-1,60),ROW()-1,FALSE))</f>
        <v>69200</v>
      </c>
      <c r="AY111">
        <f ca="1">IF(AND(ISNUMBER($AY$308),$B$185=1),$AY$308,HLOOKUP(INDIRECT(ADDRESS(2,COLUMN())),OFFSET($BN$2,0,0,ROW()-1,60),ROW()-1,FALSE))</f>
        <v>69000</v>
      </c>
      <c r="AZ111">
        <f ca="1">IF(AND(ISNUMBER($AZ$308),$B$185=1),$AZ$308,HLOOKUP(INDIRECT(ADDRESS(2,COLUMN())),OFFSET($BN$2,0,0,ROW()-1,60),ROW()-1,FALSE))</f>
        <v>67200</v>
      </c>
      <c r="BA111">
        <f ca="1">IF(AND(ISNUMBER($BA$308),$B$185=1),$BA$308,HLOOKUP(INDIRECT(ADDRESS(2,COLUMN())),OFFSET($BN$2,0,0,ROW()-1,60),ROW()-1,FALSE))</f>
        <v>64800</v>
      </c>
      <c r="BB111">
        <f ca="1">IF(AND(ISNUMBER($BB$308),$B$185=1),$BB$308,HLOOKUP(INDIRECT(ADDRESS(2,COLUMN())),OFFSET($BN$2,0,0,ROW()-1,60),ROW()-1,FALSE))</f>
        <v>62500</v>
      </c>
      <c r="BC111">
        <f ca="1">IF(AND(ISNUMBER($BC$308),$B$185=1),$BC$308,HLOOKUP(INDIRECT(ADDRESS(2,COLUMN())),OFFSET($BN$2,0,0,ROW()-1,60),ROW()-1,FALSE))</f>
        <v>62400</v>
      </c>
      <c r="BD111">
        <f ca="1">IF(AND(ISNUMBER($BD$308),$B$185=1),$BD$308,HLOOKUP(INDIRECT(ADDRESS(2,COLUMN())),OFFSET($BN$2,0,0,ROW()-1,60),ROW()-1,FALSE))</f>
        <v>61600</v>
      </c>
      <c r="BE111">
        <f ca="1">IF(AND(ISNUMBER($BE$308),$B$185=1),$BE$308,HLOOKUP(INDIRECT(ADDRESS(2,COLUMN())),OFFSET($BN$2,0,0,ROW()-1,60),ROW()-1,FALSE))</f>
        <v>60400</v>
      </c>
      <c r="BF111">
        <f ca="1">IF(AND(ISNUMBER($BF$308),$B$185=1),$BF$308,HLOOKUP(INDIRECT(ADDRESS(2,COLUMN())),OFFSET($BN$2,0,0,ROW()-1,60),ROW()-1,FALSE))</f>
        <v>57100</v>
      </c>
      <c r="BG111">
        <f ca="1">IF(AND(ISNUMBER($BG$308),$B$185=1),$BG$308,HLOOKUP(INDIRECT(ADDRESS(2,COLUMN())),OFFSET($BN$2,0,0,ROW()-1,60),ROW()-1,FALSE))</f>
        <v>56500</v>
      </c>
      <c r="BH111">
        <f ca="1">IF(AND(ISNUMBER($BH$308),$B$185=1),$BH$308,HLOOKUP(INDIRECT(ADDRESS(2,COLUMN())),OFFSET($BN$2,0,0,ROW()-1,60),ROW()-1,FALSE))</f>
        <v>56000</v>
      </c>
      <c r="BI111">
        <f ca="1">IF(AND(ISNUMBER($BI$308),$B$185=1),$BI$308,HLOOKUP(INDIRECT(ADDRESS(2,COLUMN())),OFFSET($BN$2,0,0,ROW()-1,60),ROW()-1,FALSE))</f>
        <v>55400</v>
      </c>
      <c r="BJ111">
        <f ca="1">IF(AND(ISNUMBER($BJ$308),$B$185=1),$BJ$308,HLOOKUP(INDIRECT(ADDRESS(2,COLUMN())),OFFSET($BN$2,0,0,ROW()-1,60),ROW()-1,FALSE))</f>
        <v>54200</v>
      </c>
      <c r="BK111">
        <f ca="1">IF(AND(ISNUMBER($BK$308),$B$185=1),$BK$308,HLOOKUP(INDIRECT(ADDRESS(2,COLUMN())),OFFSET($BN$2,0,0,ROW()-1,60),ROW()-1,FALSE))</f>
        <v>52400</v>
      </c>
      <c r="BL111">
        <f ca="1">IF(AND(ISNUMBER($BL$308),$B$185=1),$BL$308,HLOOKUP(INDIRECT(ADDRESS(2,COLUMN())),OFFSET($BN$2,0,0,ROW()-1,60),ROW()-1,FALSE))</f>
        <v>51300</v>
      </c>
      <c r="BM111" t="str">
        <f ca="1">IF(AND(ISNUMBER($BM$308),$B$185=1),$BM$308,HLOOKUP(INDIRECT(ADDRESS(2,COLUMN())),OFFSET($BN$2,0,0,ROW()-1,60),ROW()-1,FALSE))</f>
        <v/>
      </c>
      <c r="BN111">
        <f>94225</f>
        <v>94225</v>
      </c>
      <c r="BO111">
        <f>95808</f>
        <v>95808</v>
      </c>
      <c r="BP111">
        <f>97280</f>
        <v>97280</v>
      </c>
      <c r="BQ111">
        <f>99596</f>
        <v>99596</v>
      </c>
      <c r="BR111">
        <f>100842</f>
        <v>100842</v>
      </c>
      <c r="BS111">
        <f>101889</f>
        <v>101889</v>
      </c>
      <c r="BT111">
        <f>102817</f>
        <v>102817</v>
      </c>
      <c r="BU111">
        <f>103399</f>
        <v>103399</v>
      </c>
      <c r="BV111">
        <f>103154</f>
        <v>103154</v>
      </c>
      <c r="BW111">
        <f>102696</f>
        <v>102696</v>
      </c>
      <c r="BX111">
        <f>100519</f>
        <v>100519</v>
      </c>
      <c r="BY111">
        <f>97736</f>
        <v>97736</v>
      </c>
      <c r="BZ111">
        <f>89234</f>
        <v>89234</v>
      </c>
      <c r="CA111">
        <f>77900</f>
        <v>77900</v>
      </c>
      <c r="CB111">
        <f>71.5</f>
        <v>71.5</v>
      </c>
      <c r="CC111">
        <f>65922</f>
        <v>65922</v>
      </c>
      <c r="CD111">
        <f>68800</f>
        <v>68800</v>
      </c>
      <c r="CE111">
        <f>73500</f>
        <v>73500</v>
      </c>
      <c r="CF111">
        <f>78800</f>
        <v>78800</v>
      </c>
      <c r="CG111">
        <f>81901</f>
        <v>81901</v>
      </c>
      <c r="CH111">
        <f>80734</f>
        <v>80734</v>
      </c>
      <c r="CI111">
        <f>16736</f>
        <v>16736</v>
      </c>
      <c r="CJ111">
        <f>102400</f>
        <v>102400</v>
      </c>
      <c r="CK111">
        <f>83900</f>
        <v>83900</v>
      </c>
      <c r="CL111">
        <f>63154</f>
        <v>63154</v>
      </c>
      <c r="CM111">
        <f>64000</f>
        <v>64000</v>
      </c>
      <c r="CN111">
        <f>62200</f>
        <v>62200</v>
      </c>
      <c r="CO111">
        <f>60973</f>
        <v>60973</v>
      </c>
      <c r="CP111">
        <f>60021</f>
        <v>60021</v>
      </c>
      <c r="CQ111">
        <f>60800</f>
        <v>60800</v>
      </c>
      <c r="CR111">
        <f>61800</f>
        <v>61800</v>
      </c>
      <c r="CS111">
        <f>55413</f>
        <v>55413</v>
      </c>
      <c r="CT111">
        <f>53554</f>
        <v>53554</v>
      </c>
      <c r="CU111">
        <f>54600</f>
        <v>54600</v>
      </c>
      <c r="CV111">
        <f>56200</f>
        <v>56200</v>
      </c>
      <c r="CW111">
        <f>57800</f>
        <v>57800</v>
      </c>
      <c r="CX111">
        <f>59000</f>
        <v>59000</v>
      </c>
      <c r="CY111">
        <f>60300</f>
        <v>60300</v>
      </c>
      <c r="CZ111">
        <f>61700</f>
        <v>61700</v>
      </c>
      <c r="DA111">
        <f>64.2</f>
        <v>64.2</v>
      </c>
      <c r="DB111">
        <f>65400</f>
        <v>65400</v>
      </c>
      <c r="DC111">
        <f>66808</f>
        <v>66808</v>
      </c>
      <c r="DD111">
        <f>68100</f>
        <v>68100</v>
      </c>
      <c r="DE111">
        <f>68900</f>
        <v>68900</v>
      </c>
      <c r="DF111">
        <f>69200</f>
        <v>69200</v>
      </c>
      <c r="DG111">
        <f>69000</f>
        <v>69000</v>
      </c>
      <c r="DH111">
        <f>67200</f>
        <v>67200</v>
      </c>
      <c r="DI111">
        <f>64800</f>
        <v>64800</v>
      </c>
      <c r="DJ111">
        <f>62500</f>
        <v>62500</v>
      </c>
      <c r="DK111">
        <f>62400</f>
        <v>62400</v>
      </c>
      <c r="DL111">
        <f>61600</f>
        <v>61600</v>
      </c>
      <c r="DM111">
        <f>60400</f>
        <v>60400</v>
      </c>
      <c r="DN111">
        <f>57100</f>
        <v>57100</v>
      </c>
      <c r="DO111">
        <f>56500</f>
        <v>56500</v>
      </c>
      <c r="DP111">
        <f>56000</f>
        <v>56000</v>
      </c>
      <c r="DQ111">
        <f>55400</f>
        <v>55400</v>
      </c>
      <c r="DR111">
        <f>54200</f>
        <v>54200</v>
      </c>
      <c r="DS111">
        <f>52400</f>
        <v>52400</v>
      </c>
      <c r="DT111">
        <f>51300</f>
        <v>51300</v>
      </c>
      <c r="DU111" t="str">
        <f>""</f>
        <v/>
      </c>
    </row>
    <row r="112" spans="1:125">
      <c r="A112" t="str">
        <f>"    First Citizens BancShares Inc/"</f>
        <v xml:space="preserve">    First Citizens BancShares Inc/</v>
      </c>
      <c r="B112" t="str">
        <f>"FCNCA US Equity"</f>
        <v>FCNCA US Equity</v>
      </c>
      <c r="C112" t="str">
        <f t="shared" si="13"/>
        <v>BS960</v>
      </c>
      <c r="D112" t="str">
        <f t="shared" si="14"/>
        <v>BS_RESIDENT_MTG_SERVICED_OTHERS</v>
      </c>
      <c r="E112" t="str">
        <f t="shared" si="15"/>
        <v>Dynamic</v>
      </c>
      <c r="F112" t="str">
        <f ca="1">IF(AND(ISNUMBER($F$309),$B$185=1),$F$309,HLOOKUP(INDIRECT(ADDRESS(2,COLUMN())),OFFSET($BN$2,0,0,ROW()-1,60),ROW()-1,FALSE))</f>
        <v/>
      </c>
      <c r="G112" t="str">
        <f ca="1">IF(AND(ISNUMBER($G$309),$B$185=1),$G$309,HLOOKUP(INDIRECT(ADDRESS(2,COLUMN())),OFFSET($BN$2,0,0,ROW()-1,60),ROW()-1,FALSE))</f>
        <v/>
      </c>
      <c r="H112" t="str">
        <f ca="1">IF(AND(ISNUMBER($H$309),$B$185=1),$H$309,HLOOKUP(INDIRECT(ADDRESS(2,COLUMN())),OFFSET($BN$2,0,0,ROW()-1,60),ROW()-1,FALSE))</f>
        <v/>
      </c>
      <c r="I112" t="str">
        <f ca="1">IF(AND(ISNUMBER($I$309),$B$185=1),$I$309,HLOOKUP(INDIRECT(ADDRESS(2,COLUMN())),OFFSET($BN$2,0,0,ROW()-1,60),ROW()-1,FALSE))</f>
        <v/>
      </c>
      <c r="J112" t="str">
        <f ca="1">IF(AND(ISNUMBER($J$309),$B$185=1),$J$309,HLOOKUP(INDIRECT(ADDRESS(2,COLUMN())),OFFSET($BN$2,0,0,ROW()-1,60),ROW()-1,FALSE))</f>
        <v/>
      </c>
      <c r="K112" t="str">
        <f ca="1">IF(AND(ISNUMBER($K$309),$B$185=1),$K$309,HLOOKUP(INDIRECT(ADDRESS(2,COLUMN())),OFFSET($BN$2,0,0,ROW()-1,60),ROW()-1,FALSE))</f>
        <v/>
      </c>
      <c r="L112" t="str">
        <f ca="1">IF(AND(ISNUMBER($L$309),$B$185=1),$L$309,HLOOKUP(INDIRECT(ADDRESS(2,COLUMN())),OFFSET($BN$2,0,0,ROW()-1,60),ROW()-1,FALSE))</f>
        <v/>
      </c>
      <c r="M112" t="str">
        <f ca="1">IF(AND(ISNUMBER($M$309),$B$185=1),$M$309,HLOOKUP(INDIRECT(ADDRESS(2,COLUMN())),OFFSET($BN$2,0,0,ROW()-1,60),ROW()-1,FALSE))</f>
        <v/>
      </c>
      <c r="N112" t="str">
        <f ca="1">IF(AND(ISNUMBER($N$309),$B$185=1),$N$309,HLOOKUP(INDIRECT(ADDRESS(2,COLUMN())),OFFSET($BN$2,0,0,ROW()-1,60),ROW()-1,FALSE))</f>
        <v/>
      </c>
      <c r="O112" t="str">
        <f ca="1">IF(AND(ISNUMBER($O$309),$B$185=1),$O$309,HLOOKUP(INDIRECT(ADDRESS(2,COLUMN())),OFFSET($BN$2,0,0,ROW()-1,60),ROW()-1,FALSE))</f>
        <v/>
      </c>
      <c r="P112" t="str">
        <f ca="1">IF(AND(ISNUMBER($P$309),$B$185=1),$P$309,HLOOKUP(INDIRECT(ADDRESS(2,COLUMN())),OFFSET($BN$2,0,0,ROW()-1,60),ROW()-1,FALSE))</f>
        <v/>
      </c>
      <c r="Q112" t="str">
        <f ca="1">IF(AND(ISNUMBER($Q$309),$B$185=1),$Q$309,HLOOKUP(INDIRECT(ADDRESS(2,COLUMN())),OFFSET($BN$2,0,0,ROW()-1,60),ROW()-1,FALSE))</f>
        <v/>
      </c>
      <c r="R112" t="str">
        <f ca="1">IF(AND(ISNUMBER($R$309),$B$185=1),$R$309,HLOOKUP(INDIRECT(ADDRESS(2,COLUMN())),OFFSET($BN$2,0,0,ROW()-1,60),ROW()-1,FALSE))</f>
        <v/>
      </c>
      <c r="S112" t="str">
        <f ca="1">IF(AND(ISNUMBER($S$309),$B$185=1),$S$309,HLOOKUP(INDIRECT(ADDRESS(2,COLUMN())),OFFSET($BN$2,0,0,ROW()-1,60),ROW()-1,FALSE))</f>
        <v/>
      </c>
      <c r="T112" t="str">
        <f ca="1">IF(AND(ISNUMBER($T$309),$B$185=1),$T$309,HLOOKUP(INDIRECT(ADDRESS(2,COLUMN())),OFFSET($BN$2,0,0,ROW()-1,60),ROW()-1,FALSE))</f>
        <v/>
      </c>
      <c r="U112" t="str">
        <f ca="1">IF(AND(ISNUMBER($U$309),$B$185=1),$U$309,HLOOKUP(INDIRECT(ADDRESS(2,COLUMN())),OFFSET($BN$2,0,0,ROW()-1,60),ROW()-1,FALSE))</f>
        <v/>
      </c>
      <c r="V112" t="str">
        <f ca="1">IF(AND(ISNUMBER($V$309),$B$185=1),$V$309,HLOOKUP(INDIRECT(ADDRESS(2,COLUMN())),OFFSET($BN$2,0,0,ROW()-1,60),ROW()-1,FALSE))</f>
        <v/>
      </c>
      <c r="W112" t="str">
        <f ca="1">IF(AND(ISNUMBER($W$309),$B$185=1),$W$309,HLOOKUP(INDIRECT(ADDRESS(2,COLUMN())),OFFSET($BN$2,0,0,ROW()-1,60),ROW()-1,FALSE))</f>
        <v/>
      </c>
      <c r="X112" t="str">
        <f ca="1">IF(AND(ISNUMBER($X$309),$B$185=1),$X$309,HLOOKUP(INDIRECT(ADDRESS(2,COLUMN())),OFFSET($BN$2,0,0,ROW()-1,60),ROW()-1,FALSE))</f>
        <v/>
      </c>
      <c r="Y112" t="str">
        <f ca="1">IF(AND(ISNUMBER($Y$309),$B$185=1),$Y$309,HLOOKUP(INDIRECT(ADDRESS(2,COLUMN())),OFFSET($BN$2,0,0,ROW()-1,60),ROW()-1,FALSE))</f>
        <v/>
      </c>
      <c r="Z112" t="str">
        <f ca="1">IF(AND(ISNUMBER($Z$309),$B$185=1),$Z$309,HLOOKUP(INDIRECT(ADDRESS(2,COLUMN())),OFFSET($BN$2,0,0,ROW()-1,60),ROW()-1,FALSE))</f>
        <v/>
      </c>
      <c r="AA112" t="str">
        <f ca="1">IF(AND(ISNUMBER($AA$309),$B$185=1),$AA$309,HLOOKUP(INDIRECT(ADDRESS(2,COLUMN())),OFFSET($BN$2,0,0,ROW()-1,60),ROW()-1,FALSE))</f>
        <v/>
      </c>
      <c r="AB112" t="str">
        <f ca="1">IF(AND(ISNUMBER($AB$309),$B$185=1),$AB$309,HLOOKUP(INDIRECT(ADDRESS(2,COLUMN())),OFFSET($BN$2,0,0,ROW()-1,60),ROW()-1,FALSE))</f>
        <v/>
      </c>
      <c r="AC112" t="str">
        <f ca="1">IF(AND(ISNUMBER($AC$309),$B$185=1),$AC$309,HLOOKUP(INDIRECT(ADDRESS(2,COLUMN())),OFFSET($BN$2,0,0,ROW()-1,60),ROW()-1,FALSE))</f>
        <v/>
      </c>
      <c r="AD112" t="str">
        <f ca="1">IF(AND(ISNUMBER($AD$309),$B$185=1),$AD$309,HLOOKUP(INDIRECT(ADDRESS(2,COLUMN())),OFFSET($BN$2,0,0,ROW()-1,60),ROW()-1,FALSE))</f>
        <v/>
      </c>
      <c r="AE112" t="str">
        <f ca="1">IF(AND(ISNUMBER($AE$309),$B$185=1),$AE$309,HLOOKUP(INDIRECT(ADDRESS(2,COLUMN())),OFFSET($BN$2,0,0,ROW()-1,60),ROW()-1,FALSE))</f>
        <v/>
      </c>
      <c r="AF112" t="str">
        <f ca="1">IF(AND(ISNUMBER($AF$309),$B$185=1),$AF$309,HLOOKUP(INDIRECT(ADDRESS(2,COLUMN())),OFFSET($BN$2,0,0,ROW()-1,60),ROW()-1,FALSE))</f>
        <v/>
      </c>
      <c r="AG112" t="str">
        <f ca="1">IF(AND(ISNUMBER($AG$309),$B$185=1),$AG$309,HLOOKUP(INDIRECT(ADDRESS(2,COLUMN())),OFFSET($BN$2,0,0,ROW()-1,60),ROW()-1,FALSE))</f>
        <v/>
      </c>
      <c r="AH112" t="str">
        <f ca="1">IF(AND(ISNUMBER($AH$309),$B$185=1),$AH$309,HLOOKUP(INDIRECT(ADDRESS(2,COLUMN())),OFFSET($BN$2,0,0,ROW()-1,60),ROW()-1,FALSE))</f>
        <v/>
      </c>
      <c r="AI112" t="str">
        <f ca="1">IF(AND(ISNUMBER($AI$309),$B$185=1),$AI$309,HLOOKUP(INDIRECT(ADDRESS(2,COLUMN())),OFFSET($BN$2,0,0,ROW()-1,60),ROW()-1,FALSE))</f>
        <v/>
      </c>
      <c r="AJ112" t="str">
        <f ca="1">IF(AND(ISNUMBER($AJ$309),$B$185=1),$AJ$309,HLOOKUP(INDIRECT(ADDRESS(2,COLUMN())),OFFSET($BN$2,0,0,ROW()-1,60),ROW()-1,FALSE))</f>
        <v/>
      </c>
      <c r="AK112" t="str">
        <f ca="1">IF(AND(ISNUMBER($AK$309),$B$185=1),$AK$309,HLOOKUP(INDIRECT(ADDRESS(2,COLUMN())),OFFSET($BN$2,0,0,ROW()-1,60),ROW()-1,FALSE))</f>
        <v/>
      </c>
      <c r="AL112" t="str">
        <f ca="1">IF(AND(ISNUMBER($AL$309),$B$185=1),$AL$309,HLOOKUP(INDIRECT(ADDRESS(2,COLUMN())),OFFSET($BN$2,0,0,ROW()-1,60),ROW()-1,FALSE))</f>
        <v/>
      </c>
      <c r="AM112" t="str">
        <f ca="1">IF(AND(ISNUMBER($AM$309),$B$185=1),$AM$309,HLOOKUP(INDIRECT(ADDRESS(2,COLUMN())),OFFSET($BN$2,0,0,ROW()-1,60),ROW()-1,FALSE))</f>
        <v/>
      </c>
      <c r="AN112" t="str">
        <f ca="1">IF(AND(ISNUMBER($AN$309),$B$185=1),$AN$309,HLOOKUP(INDIRECT(ADDRESS(2,COLUMN())),OFFSET($BN$2,0,0,ROW()-1,60),ROW()-1,FALSE))</f>
        <v/>
      </c>
      <c r="AO112" t="str">
        <f ca="1">IF(AND(ISNUMBER($AO$309),$B$185=1),$AO$309,HLOOKUP(INDIRECT(ADDRESS(2,COLUMN())),OFFSET($BN$2,0,0,ROW()-1,60),ROW()-1,FALSE))</f>
        <v/>
      </c>
      <c r="AP112" t="str">
        <f ca="1">IF(AND(ISNUMBER($AP$309),$B$185=1),$AP$309,HLOOKUP(INDIRECT(ADDRESS(2,COLUMN())),OFFSET($BN$2,0,0,ROW()-1,60),ROW()-1,FALSE))</f>
        <v/>
      </c>
      <c r="AQ112" t="str">
        <f ca="1">IF(AND(ISNUMBER($AQ$309),$B$185=1),$AQ$309,HLOOKUP(INDIRECT(ADDRESS(2,COLUMN())),OFFSET($BN$2,0,0,ROW()-1,60),ROW()-1,FALSE))</f>
        <v/>
      </c>
      <c r="AR112" t="str">
        <f ca="1">IF(AND(ISNUMBER($AR$309),$B$185=1),$AR$309,HLOOKUP(INDIRECT(ADDRESS(2,COLUMN())),OFFSET($BN$2,0,0,ROW()-1,60),ROW()-1,FALSE))</f>
        <v/>
      </c>
      <c r="AS112" t="str">
        <f ca="1">IF(AND(ISNUMBER($AS$309),$B$185=1),$AS$309,HLOOKUP(INDIRECT(ADDRESS(2,COLUMN())),OFFSET($BN$2,0,0,ROW()-1,60),ROW()-1,FALSE))</f>
        <v/>
      </c>
      <c r="AT112" t="str">
        <f ca="1">IF(AND(ISNUMBER($AT$309),$B$185=1),$AT$309,HLOOKUP(INDIRECT(ADDRESS(2,COLUMN())),OFFSET($BN$2,0,0,ROW()-1,60),ROW()-1,FALSE))</f>
        <v/>
      </c>
      <c r="AU112" t="str">
        <f ca="1">IF(AND(ISNUMBER($AU$309),$B$185=1),$AU$309,HLOOKUP(INDIRECT(ADDRESS(2,COLUMN())),OFFSET($BN$2,0,0,ROW()-1,60),ROW()-1,FALSE))</f>
        <v/>
      </c>
      <c r="AV112" t="str">
        <f ca="1">IF(AND(ISNUMBER($AV$309),$B$185=1),$AV$309,HLOOKUP(INDIRECT(ADDRESS(2,COLUMN())),OFFSET($BN$2,0,0,ROW()-1,60),ROW()-1,FALSE))</f>
        <v/>
      </c>
      <c r="AW112" t="str">
        <f ca="1">IF(AND(ISNUMBER($AW$309),$B$185=1),$AW$309,HLOOKUP(INDIRECT(ADDRESS(2,COLUMN())),OFFSET($BN$2,0,0,ROW()-1,60),ROW()-1,FALSE))</f>
        <v/>
      </c>
      <c r="AX112" t="str">
        <f ca="1">IF(AND(ISNUMBER($AX$309),$B$185=1),$AX$309,HLOOKUP(INDIRECT(ADDRESS(2,COLUMN())),OFFSET($BN$2,0,0,ROW()-1,60),ROW()-1,FALSE))</f>
        <v/>
      </c>
      <c r="AY112" t="str">
        <f ca="1">IF(AND(ISNUMBER($AY$309),$B$185=1),$AY$309,HLOOKUP(INDIRECT(ADDRESS(2,COLUMN())),OFFSET($BN$2,0,0,ROW()-1,60),ROW()-1,FALSE))</f>
        <v/>
      </c>
      <c r="AZ112" t="str">
        <f ca="1">IF(AND(ISNUMBER($AZ$309),$B$185=1),$AZ$309,HLOOKUP(INDIRECT(ADDRESS(2,COLUMN())),OFFSET($BN$2,0,0,ROW()-1,60),ROW()-1,FALSE))</f>
        <v/>
      </c>
      <c r="BA112" t="str">
        <f ca="1">IF(AND(ISNUMBER($BA$309),$B$185=1),$BA$309,HLOOKUP(INDIRECT(ADDRESS(2,COLUMN())),OFFSET($BN$2,0,0,ROW()-1,60),ROW()-1,FALSE))</f>
        <v/>
      </c>
      <c r="BB112" t="str">
        <f ca="1">IF(AND(ISNUMBER($BB$309),$B$185=1),$BB$309,HLOOKUP(INDIRECT(ADDRESS(2,COLUMN())),OFFSET($BN$2,0,0,ROW()-1,60),ROW()-1,FALSE))</f>
        <v/>
      </c>
      <c r="BC112" t="str">
        <f ca="1">IF(AND(ISNUMBER($BC$309),$B$185=1),$BC$309,HLOOKUP(INDIRECT(ADDRESS(2,COLUMN())),OFFSET($BN$2,0,0,ROW()-1,60),ROW()-1,FALSE))</f>
        <v/>
      </c>
      <c r="BD112" t="str">
        <f ca="1">IF(AND(ISNUMBER($BD$309),$B$185=1),$BD$309,HLOOKUP(INDIRECT(ADDRESS(2,COLUMN())),OFFSET($BN$2,0,0,ROW()-1,60),ROW()-1,FALSE))</f>
        <v/>
      </c>
      <c r="BE112" t="str">
        <f ca="1">IF(AND(ISNUMBER($BE$309),$B$185=1),$BE$309,HLOOKUP(INDIRECT(ADDRESS(2,COLUMN())),OFFSET($BN$2,0,0,ROW()-1,60),ROW()-1,FALSE))</f>
        <v/>
      </c>
      <c r="BF112" t="str">
        <f ca="1">IF(AND(ISNUMBER($BF$309),$B$185=1),$BF$309,HLOOKUP(INDIRECT(ADDRESS(2,COLUMN())),OFFSET($BN$2,0,0,ROW()-1,60),ROW()-1,FALSE))</f>
        <v/>
      </c>
      <c r="BG112" t="str">
        <f ca="1">IF(AND(ISNUMBER($BG$309),$B$185=1),$BG$309,HLOOKUP(INDIRECT(ADDRESS(2,COLUMN())),OFFSET($BN$2,0,0,ROW()-1,60),ROW()-1,FALSE))</f>
        <v/>
      </c>
      <c r="BH112" t="str">
        <f ca="1">IF(AND(ISNUMBER($BH$309),$B$185=1),$BH$309,HLOOKUP(INDIRECT(ADDRESS(2,COLUMN())),OFFSET($BN$2,0,0,ROW()-1,60),ROW()-1,FALSE))</f>
        <v/>
      </c>
      <c r="BI112" t="str">
        <f ca="1">IF(AND(ISNUMBER($BI$309),$B$185=1),$BI$309,HLOOKUP(INDIRECT(ADDRESS(2,COLUMN())),OFFSET($BN$2,0,0,ROW()-1,60),ROW()-1,FALSE))</f>
        <v/>
      </c>
      <c r="BJ112" t="str">
        <f ca="1">IF(AND(ISNUMBER($BJ$309),$B$185=1),$BJ$309,HLOOKUP(INDIRECT(ADDRESS(2,COLUMN())),OFFSET($BN$2,0,0,ROW()-1,60),ROW()-1,FALSE))</f>
        <v/>
      </c>
      <c r="BK112" t="str">
        <f ca="1">IF(AND(ISNUMBER($BK$309),$B$185=1),$BK$309,HLOOKUP(INDIRECT(ADDRESS(2,COLUMN())),OFFSET($BN$2,0,0,ROW()-1,60),ROW()-1,FALSE))</f>
        <v/>
      </c>
      <c r="BL112" t="str">
        <f ca="1">IF(AND(ISNUMBER($BL$309),$B$185=1),$BL$309,HLOOKUP(INDIRECT(ADDRESS(2,COLUMN())),OFFSET($BN$2,0,0,ROW()-1,60),ROW()-1,FALSE))</f>
        <v/>
      </c>
      <c r="BM112" t="str">
        <f ca="1">IF(AND(ISNUMBER($BM$309),$B$185=1),$BM$309,HLOOKUP(INDIRECT(ADDRESS(2,COLUMN())),OFFSET($BN$2,0,0,ROW()-1,60),ROW()-1,FALSE))</f>
        <v/>
      </c>
      <c r="BN112" t="str">
        <f>""</f>
        <v/>
      </c>
      <c r="BO112" t="str">
        <f>""</f>
        <v/>
      </c>
      <c r="BP112" t="str">
        <f>""</f>
        <v/>
      </c>
      <c r="BQ112" t="str">
        <f>""</f>
        <v/>
      </c>
      <c r="BR112" t="str">
        <f>""</f>
        <v/>
      </c>
      <c r="BS112" t="str">
        <f>""</f>
        <v/>
      </c>
      <c r="BT112" t="str">
        <f>""</f>
        <v/>
      </c>
      <c r="BU112" t="str">
        <f>""</f>
        <v/>
      </c>
      <c r="BV112" t="str">
        <f>""</f>
        <v/>
      </c>
      <c r="BW112" t="str">
        <f>""</f>
        <v/>
      </c>
      <c r="BX112" t="str">
        <f>""</f>
        <v/>
      </c>
      <c r="BY112" t="str">
        <f>""</f>
        <v/>
      </c>
      <c r="BZ112" t="str">
        <f>""</f>
        <v/>
      </c>
      <c r="CA112" t="str">
        <f>""</f>
        <v/>
      </c>
      <c r="CB112" t="str">
        <f>""</f>
        <v/>
      </c>
      <c r="CC112" t="str">
        <f>""</f>
        <v/>
      </c>
      <c r="CD112" t="str">
        <f>""</f>
        <v/>
      </c>
      <c r="CE112" t="str">
        <f>""</f>
        <v/>
      </c>
      <c r="CF112" t="str">
        <f>""</f>
        <v/>
      </c>
      <c r="CG112" t="str">
        <f>""</f>
        <v/>
      </c>
      <c r="CH112" t="str">
        <f>""</f>
        <v/>
      </c>
      <c r="CI112" t="str">
        <f>""</f>
        <v/>
      </c>
      <c r="CJ112" t="str">
        <f>""</f>
        <v/>
      </c>
      <c r="CK112" t="str">
        <f>""</f>
        <v/>
      </c>
      <c r="CL112" t="str">
        <f>""</f>
        <v/>
      </c>
      <c r="CM112" t="str">
        <f>""</f>
        <v/>
      </c>
      <c r="CN112" t="str">
        <f>""</f>
        <v/>
      </c>
      <c r="CO112" t="str">
        <f>""</f>
        <v/>
      </c>
      <c r="CP112" t="str">
        <f>""</f>
        <v/>
      </c>
      <c r="CQ112" t="str">
        <f>""</f>
        <v/>
      </c>
      <c r="CR112" t="str">
        <f>""</f>
        <v/>
      </c>
      <c r="CS112" t="str">
        <f>""</f>
        <v/>
      </c>
      <c r="CT112" t="str">
        <f>""</f>
        <v/>
      </c>
      <c r="CU112" t="str">
        <f>""</f>
        <v/>
      </c>
      <c r="CV112" t="str">
        <f>""</f>
        <v/>
      </c>
      <c r="CW112" t="str">
        <f>""</f>
        <v/>
      </c>
      <c r="CX112" t="str">
        <f>""</f>
        <v/>
      </c>
      <c r="CY112" t="str">
        <f>""</f>
        <v/>
      </c>
      <c r="CZ112" t="str">
        <f>""</f>
        <v/>
      </c>
      <c r="DA112" t="str">
        <f>""</f>
        <v/>
      </c>
      <c r="DB112" t="str">
        <f>""</f>
        <v/>
      </c>
      <c r="DC112" t="str">
        <f>""</f>
        <v/>
      </c>
      <c r="DD112" t="str">
        <f>""</f>
        <v/>
      </c>
      <c r="DE112" t="str">
        <f>""</f>
        <v/>
      </c>
      <c r="DF112" t="str">
        <f>""</f>
        <v/>
      </c>
      <c r="DG112" t="str">
        <f>""</f>
        <v/>
      </c>
      <c r="DH112" t="str">
        <f>""</f>
        <v/>
      </c>
      <c r="DI112" t="str">
        <f>""</f>
        <v/>
      </c>
      <c r="DJ112" t="str">
        <f>""</f>
        <v/>
      </c>
      <c r="DK112" t="str">
        <f>""</f>
        <v/>
      </c>
      <c r="DL112" t="str">
        <f>""</f>
        <v/>
      </c>
      <c r="DM112" t="str">
        <f>""</f>
        <v/>
      </c>
      <c r="DN112" t="str">
        <f>""</f>
        <v/>
      </c>
      <c r="DO112" t="str">
        <f>""</f>
        <v/>
      </c>
      <c r="DP112" t="str">
        <f>""</f>
        <v/>
      </c>
      <c r="DQ112" t="str">
        <f>""</f>
        <v/>
      </c>
      <c r="DR112" t="str">
        <f>""</f>
        <v/>
      </c>
      <c r="DS112" t="str">
        <f>""</f>
        <v/>
      </c>
      <c r="DT112" t="str">
        <f>""</f>
        <v/>
      </c>
      <c r="DU112" t="str">
        <f>""</f>
        <v/>
      </c>
    </row>
    <row r="113" spans="1:125">
      <c r="A113" t="str">
        <f>"    Flagstar Financial Inc"</f>
        <v xml:space="preserve">    Flagstar Financial Inc</v>
      </c>
      <c r="B113" t="str">
        <f>"FLG US Equity"</f>
        <v>FLG US Equity</v>
      </c>
      <c r="C113" t="str">
        <f t="shared" si="13"/>
        <v>BS960</v>
      </c>
      <c r="D113" t="str">
        <f t="shared" si="14"/>
        <v>BS_RESIDENT_MTG_SERVICED_OTHERS</v>
      </c>
      <c r="E113" t="str">
        <f t="shared" si="15"/>
        <v>Dynamic</v>
      </c>
      <c r="F113" t="str">
        <f ca="1">IF(AND(ISNUMBER($F$310),$B$185=1),$F$310,HLOOKUP(INDIRECT(ADDRESS(2,COLUMN())),OFFSET($BN$2,0,0,ROW()-1,60),ROW()-1,FALSE))</f>
        <v/>
      </c>
      <c r="G113" t="str">
        <f ca="1">IF(AND(ISNUMBER($G$310),$B$185=1),$G$310,HLOOKUP(INDIRECT(ADDRESS(2,COLUMN())),OFFSET($BN$2,0,0,ROW()-1,60),ROW()-1,FALSE))</f>
        <v/>
      </c>
      <c r="H113" t="str">
        <f ca="1">IF(AND(ISNUMBER($H$310),$B$185=1),$H$310,HLOOKUP(INDIRECT(ADDRESS(2,COLUMN())),OFFSET($BN$2,0,0,ROW()-1,60),ROW()-1,FALSE))</f>
        <v/>
      </c>
      <c r="I113" t="str">
        <f ca="1">IF(AND(ISNUMBER($I$310),$B$185=1),$I$310,HLOOKUP(INDIRECT(ADDRESS(2,COLUMN())),OFFSET($BN$2,0,0,ROW()-1,60),ROW()-1,FALSE))</f>
        <v/>
      </c>
      <c r="J113" t="str">
        <f ca="1">IF(AND(ISNUMBER($J$310),$B$185=1),$J$310,HLOOKUP(INDIRECT(ADDRESS(2,COLUMN())),OFFSET($BN$2,0,0,ROW()-1,60),ROW()-1,FALSE))</f>
        <v/>
      </c>
      <c r="K113" t="str">
        <f ca="1">IF(AND(ISNUMBER($K$310),$B$185=1),$K$310,HLOOKUP(INDIRECT(ADDRESS(2,COLUMN())),OFFSET($BN$2,0,0,ROW()-1,60),ROW()-1,FALSE))</f>
        <v/>
      </c>
      <c r="L113" t="str">
        <f ca="1">IF(AND(ISNUMBER($L$310),$B$185=1),$L$310,HLOOKUP(INDIRECT(ADDRESS(2,COLUMN())),OFFSET($BN$2,0,0,ROW()-1,60),ROW()-1,FALSE))</f>
        <v/>
      </c>
      <c r="M113" t="str">
        <f ca="1">IF(AND(ISNUMBER($M$310),$B$185=1),$M$310,HLOOKUP(INDIRECT(ADDRESS(2,COLUMN())),OFFSET($BN$2,0,0,ROW()-1,60),ROW()-1,FALSE))</f>
        <v/>
      </c>
      <c r="N113" t="str">
        <f ca="1">IF(AND(ISNUMBER($N$310),$B$185=1),$N$310,HLOOKUP(INDIRECT(ADDRESS(2,COLUMN())),OFFSET($BN$2,0,0,ROW()-1,60),ROW()-1,FALSE))</f>
        <v/>
      </c>
      <c r="O113" t="str">
        <f ca="1">IF(AND(ISNUMBER($O$310),$B$185=1),$O$310,HLOOKUP(INDIRECT(ADDRESS(2,COLUMN())),OFFSET($BN$2,0,0,ROW()-1,60),ROW()-1,FALSE))</f>
        <v/>
      </c>
      <c r="P113" t="str">
        <f ca="1">IF(AND(ISNUMBER($P$310),$B$185=1),$P$310,HLOOKUP(INDIRECT(ADDRESS(2,COLUMN())),OFFSET($BN$2,0,0,ROW()-1,60),ROW()-1,FALSE))</f>
        <v/>
      </c>
      <c r="Q113" t="str">
        <f ca="1">IF(AND(ISNUMBER($Q$310),$B$185=1),$Q$310,HLOOKUP(INDIRECT(ADDRESS(2,COLUMN())),OFFSET($BN$2,0,0,ROW()-1,60),ROW()-1,FALSE))</f>
        <v/>
      </c>
      <c r="R113" t="str">
        <f ca="1">IF(AND(ISNUMBER($R$310),$B$185=1),$R$310,HLOOKUP(INDIRECT(ADDRESS(2,COLUMN())),OFFSET($BN$2,0,0,ROW()-1,60),ROW()-1,FALSE))</f>
        <v/>
      </c>
      <c r="S113" t="str">
        <f ca="1">IF(AND(ISNUMBER($S$310),$B$185=1),$S$310,HLOOKUP(INDIRECT(ADDRESS(2,COLUMN())),OFFSET($BN$2,0,0,ROW()-1,60),ROW()-1,FALSE))</f>
        <v/>
      </c>
      <c r="T113" t="str">
        <f ca="1">IF(AND(ISNUMBER($T$310),$B$185=1),$T$310,HLOOKUP(INDIRECT(ADDRESS(2,COLUMN())),OFFSET($BN$2,0,0,ROW()-1,60),ROW()-1,FALSE))</f>
        <v/>
      </c>
      <c r="U113" t="str">
        <f ca="1">IF(AND(ISNUMBER($U$310),$B$185=1),$U$310,HLOOKUP(INDIRECT(ADDRESS(2,COLUMN())),OFFSET($BN$2,0,0,ROW()-1,60),ROW()-1,FALSE))</f>
        <v/>
      </c>
      <c r="V113" t="str">
        <f ca="1">IF(AND(ISNUMBER($V$310),$B$185=1),$V$310,HLOOKUP(INDIRECT(ADDRESS(2,COLUMN())),OFFSET($BN$2,0,0,ROW()-1,60),ROW()-1,FALSE))</f>
        <v/>
      </c>
      <c r="W113" t="str">
        <f ca="1">IF(AND(ISNUMBER($W$310),$B$185=1),$W$310,HLOOKUP(INDIRECT(ADDRESS(2,COLUMN())),OFFSET($BN$2,0,0,ROW()-1,60),ROW()-1,FALSE))</f>
        <v/>
      </c>
      <c r="X113" t="str">
        <f ca="1">IF(AND(ISNUMBER($X$310),$B$185=1),$X$310,HLOOKUP(INDIRECT(ADDRESS(2,COLUMN())),OFFSET($BN$2,0,0,ROW()-1,60),ROW()-1,FALSE))</f>
        <v/>
      </c>
      <c r="Y113" t="str">
        <f ca="1">IF(AND(ISNUMBER($Y$310),$B$185=1),$Y$310,HLOOKUP(INDIRECT(ADDRESS(2,COLUMN())),OFFSET($BN$2,0,0,ROW()-1,60),ROW()-1,FALSE))</f>
        <v/>
      </c>
      <c r="Z113" t="str">
        <f ca="1">IF(AND(ISNUMBER($Z$310),$B$185=1),$Z$310,HLOOKUP(INDIRECT(ADDRESS(2,COLUMN())),OFFSET($BN$2,0,0,ROW()-1,60),ROW()-1,FALSE))</f>
        <v/>
      </c>
      <c r="AA113" t="str">
        <f ca="1">IF(AND(ISNUMBER($AA$310),$B$185=1),$AA$310,HLOOKUP(INDIRECT(ADDRESS(2,COLUMN())),OFFSET($BN$2,0,0,ROW()-1,60),ROW()-1,FALSE))</f>
        <v/>
      </c>
      <c r="AB113" t="str">
        <f ca="1">IF(AND(ISNUMBER($AB$310),$B$185=1),$AB$310,HLOOKUP(INDIRECT(ADDRESS(2,COLUMN())),OFFSET($BN$2,0,0,ROW()-1,60),ROW()-1,FALSE))</f>
        <v/>
      </c>
      <c r="AC113" t="str">
        <f ca="1">IF(AND(ISNUMBER($AC$310),$B$185=1),$AC$310,HLOOKUP(INDIRECT(ADDRESS(2,COLUMN())),OFFSET($BN$2,0,0,ROW()-1,60),ROW()-1,FALSE))</f>
        <v/>
      </c>
      <c r="AD113" t="str">
        <f ca="1">IF(AND(ISNUMBER($AD$310),$B$185=1),$AD$310,HLOOKUP(INDIRECT(ADDRESS(2,COLUMN())),OFFSET($BN$2,0,0,ROW()-1,60),ROW()-1,FALSE))</f>
        <v/>
      </c>
      <c r="AE113" t="str">
        <f ca="1">IF(AND(ISNUMBER($AE$310),$B$185=1),$AE$310,HLOOKUP(INDIRECT(ADDRESS(2,COLUMN())),OFFSET($BN$2,0,0,ROW()-1,60),ROW()-1,FALSE))</f>
        <v/>
      </c>
      <c r="AF113" t="str">
        <f ca="1">IF(AND(ISNUMBER($AF$310),$B$185=1),$AF$310,HLOOKUP(INDIRECT(ADDRESS(2,COLUMN())),OFFSET($BN$2,0,0,ROW()-1,60),ROW()-1,FALSE))</f>
        <v/>
      </c>
      <c r="AG113" t="str">
        <f ca="1">IF(AND(ISNUMBER($AG$310),$B$185=1),$AG$310,HLOOKUP(INDIRECT(ADDRESS(2,COLUMN())),OFFSET($BN$2,0,0,ROW()-1,60),ROW()-1,FALSE))</f>
        <v/>
      </c>
      <c r="AH113" t="str">
        <f ca="1">IF(AND(ISNUMBER($AH$310),$B$185=1),$AH$310,HLOOKUP(INDIRECT(ADDRESS(2,COLUMN())),OFFSET($BN$2,0,0,ROW()-1,60),ROW()-1,FALSE))</f>
        <v/>
      </c>
      <c r="AI113" t="str">
        <f ca="1">IF(AND(ISNUMBER($AI$310),$B$185=1),$AI$310,HLOOKUP(INDIRECT(ADDRESS(2,COLUMN())),OFFSET($BN$2,0,0,ROW()-1,60),ROW()-1,FALSE))</f>
        <v/>
      </c>
      <c r="AJ113" t="str">
        <f ca="1">IF(AND(ISNUMBER($AJ$310),$B$185=1),$AJ$310,HLOOKUP(INDIRECT(ADDRESS(2,COLUMN())),OFFSET($BN$2,0,0,ROW()-1,60),ROW()-1,FALSE))</f>
        <v/>
      </c>
      <c r="AK113" t="str">
        <f ca="1">IF(AND(ISNUMBER($AK$310),$B$185=1),$AK$310,HLOOKUP(INDIRECT(ADDRESS(2,COLUMN())),OFFSET($BN$2,0,0,ROW()-1,60),ROW()-1,FALSE))</f>
        <v/>
      </c>
      <c r="AL113" t="str">
        <f ca="1">IF(AND(ISNUMBER($AL$310),$B$185=1),$AL$310,HLOOKUP(INDIRECT(ADDRESS(2,COLUMN())),OFFSET($BN$2,0,0,ROW()-1,60),ROW()-1,FALSE))</f>
        <v/>
      </c>
      <c r="AM113" t="str">
        <f ca="1">IF(AND(ISNUMBER($AM$310),$B$185=1),$AM$310,HLOOKUP(INDIRECT(ADDRESS(2,COLUMN())),OFFSET($BN$2,0,0,ROW()-1,60),ROW()-1,FALSE))</f>
        <v/>
      </c>
      <c r="AN113" t="str">
        <f ca="1">IF(AND(ISNUMBER($AN$310),$B$185=1),$AN$310,HLOOKUP(INDIRECT(ADDRESS(2,COLUMN())),OFFSET($BN$2,0,0,ROW()-1,60),ROW()-1,FALSE))</f>
        <v/>
      </c>
      <c r="AO113" t="str">
        <f ca="1">IF(AND(ISNUMBER($AO$310),$B$185=1),$AO$310,HLOOKUP(INDIRECT(ADDRESS(2,COLUMN())),OFFSET($BN$2,0,0,ROW()-1,60),ROW()-1,FALSE))</f>
        <v/>
      </c>
      <c r="AP113" t="str">
        <f ca="1">IF(AND(ISNUMBER($AP$310),$B$185=1),$AP$310,HLOOKUP(INDIRECT(ADDRESS(2,COLUMN())),OFFSET($BN$2,0,0,ROW()-1,60),ROW()-1,FALSE))</f>
        <v/>
      </c>
      <c r="AQ113" t="str">
        <f ca="1">IF(AND(ISNUMBER($AQ$310),$B$185=1),$AQ$310,HLOOKUP(INDIRECT(ADDRESS(2,COLUMN())),OFFSET($BN$2,0,0,ROW()-1,60),ROW()-1,FALSE))</f>
        <v/>
      </c>
      <c r="AR113" t="str">
        <f ca="1">IF(AND(ISNUMBER($AR$310),$B$185=1),$AR$310,HLOOKUP(INDIRECT(ADDRESS(2,COLUMN())),OFFSET($BN$2,0,0,ROW()-1,60),ROW()-1,FALSE))</f>
        <v/>
      </c>
      <c r="AS113" t="str">
        <f ca="1">IF(AND(ISNUMBER($AS$310),$B$185=1),$AS$310,HLOOKUP(INDIRECT(ADDRESS(2,COLUMN())),OFFSET($BN$2,0,0,ROW()-1,60),ROW()-1,FALSE))</f>
        <v/>
      </c>
      <c r="AT113" t="str">
        <f ca="1">IF(AND(ISNUMBER($AT$310),$B$185=1),$AT$310,HLOOKUP(INDIRECT(ADDRESS(2,COLUMN())),OFFSET($BN$2,0,0,ROW()-1,60),ROW()-1,FALSE))</f>
        <v/>
      </c>
      <c r="AU113" t="str">
        <f ca="1">IF(AND(ISNUMBER($AU$310),$B$185=1),$AU$310,HLOOKUP(INDIRECT(ADDRESS(2,COLUMN())),OFFSET($BN$2,0,0,ROW()-1,60),ROW()-1,FALSE))</f>
        <v/>
      </c>
      <c r="AV113" t="str">
        <f ca="1">IF(AND(ISNUMBER($AV$310),$B$185=1),$AV$310,HLOOKUP(INDIRECT(ADDRESS(2,COLUMN())),OFFSET($BN$2,0,0,ROW()-1,60),ROW()-1,FALSE))</f>
        <v/>
      </c>
      <c r="AW113" t="str">
        <f ca="1">IF(AND(ISNUMBER($AW$310),$B$185=1),$AW$310,HLOOKUP(INDIRECT(ADDRESS(2,COLUMN())),OFFSET($BN$2,0,0,ROW()-1,60),ROW()-1,FALSE))</f>
        <v/>
      </c>
      <c r="AX113" t="str">
        <f ca="1">IF(AND(ISNUMBER($AX$310),$B$185=1),$AX$310,HLOOKUP(INDIRECT(ADDRESS(2,COLUMN())),OFFSET($BN$2,0,0,ROW()-1,60),ROW()-1,FALSE))</f>
        <v/>
      </c>
      <c r="AY113" t="str">
        <f ca="1">IF(AND(ISNUMBER($AY$310),$B$185=1),$AY$310,HLOOKUP(INDIRECT(ADDRESS(2,COLUMN())),OFFSET($BN$2,0,0,ROW()-1,60),ROW()-1,FALSE))</f>
        <v/>
      </c>
      <c r="AZ113" t="str">
        <f ca="1">IF(AND(ISNUMBER($AZ$310),$B$185=1),$AZ$310,HLOOKUP(INDIRECT(ADDRESS(2,COLUMN())),OFFSET($BN$2,0,0,ROW()-1,60),ROW()-1,FALSE))</f>
        <v/>
      </c>
      <c r="BA113" t="str">
        <f ca="1">IF(AND(ISNUMBER($BA$310),$B$185=1),$BA$310,HLOOKUP(INDIRECT(ADDRESS(2,COLUMN())),OFFSET($BN$2,0,0,ROW()-1,60),ROW()-1,FALSE))</f>
        <v/>
      </c>
      <c r="BB113" t="str">
        <f ca="1">IF(AND(ISNUMBER($BB$310),$B$185=1),$BB$310,HLOOKUP(INDIRECT(ADDRESS(2,COLUMN())),OFFSET($BN$2,0,0,ROW()-1,60),ROW()-1,FALSE))</f>
        <v/>
      </c>
      <c r="BC113" t="str">
        <f ca="1">IF(AND(ISNUMBER($BC$310),$B$185=1),$BC$310,HLOOKUP(INDIRECT(ADDRESS(2,COLUMN())),OFFSET($BN$2,0,0,ROW()-1,60),ROW()-1,FALSE))</f>
        <v/>
      </c>
      <c r="BD113" t="str">
        <f ca="1">IF(AND(ISNUMBER($BD$310),$B$185=1),$BD$310,HLOOKUP(INDIRECT(ADDRESS(2,COLUMN())),OFFSET($BN$2,0,0,ROW()-1,60),ROW()-1,FALSE))</f>
        <v/>
      </c>
      <c r="BE113" t="str">
        <f ca="1">IF(AND(ISNUMBER($BE$310),$B$185=1),$BE$310,HLOOKUP(INDIRECT(ADDRESS(2,COLUMN())),OFFSET($BN$2,0,0,ROW()-1,60),ROW()-1,FALSE))</f>
        <v/>
      </c>
      <c r="BF113" t="str">
        <f ca="1">IF(AND(ISNUMBER($BF$310),$B$185=1),$BF$310,HLOOKUP(INDIRECT(ADDRESS(2,COLUMN())),OFFSET($BN$2,0,0,ROW()-1,60),ROW()-1,FALSE))</f>
        <v/>
      </c>
      <c r="BG113" t="str">
        <f ca="1">IF(AND(ISNUMBER($BG$310),$B$185=1),$BG$310,HLOOKUP(INDIRECT(ADDRESS(2,COLUMN())),OFFSET($BN$2,0,0,ROW()-1,60),ROW()-1,FALSE))</f>
        <v/>
      </c>
      <c r="BH113" t="str">
        <f ca="1">IF(AND(ISNUMBER($BH$310),$B$185=1),$BH$310,HLOOKUP(INDIRECT(ADDRESS(2,COLUMN())),OFFSET($BN$2,0,0,ROW()-1,60),ROW()-1,FALSE))</f>
        <v/>
      </c>
      <c r="BI113" t="str">
        <f ca="1">IF(AND(ISNUMBER($BI$310),$B$185=1),$BI$310,HLOOKUP(INDIRECT(ADDRESS(2,COLUMN())),OFFSET($BN$2,0,0,ROW()-1,60),ROW()-1,FALSE))</f>
        <v/>
      </c>
      <c r="BJ113" t="str">
        <f ca="1">IF(AND(ISNUMBER($BJ$310),$B$185=1),$BJ$310,HLOOKUP(INDIRECT(ADDRESS(2,COLUMN())),OFFSET($BN$2,0,0,ROW()-1,60),ROW()-1,FALSE))</f>
        <v/>
      </c>
      <c r="BK113" t="str">
        <f ca="1">IF(AND(ISNUMBER($BK$310),$B$185=1),$BK$310,HLOOKUP(INDIRECT(ADDRESS(2,COLUMN())),OFFSET($BN$2,0,0,ROW()-1,60),ROW()-1,FALSE))</f>
        <v/>
      </c>
      <c r="BL113" t="str">
        <f ca="1">IF(AND(ISNUMBER($BL$310),$B$185=1),$BL$310,HLOOKUP(INDIRECT(ADDRESS(2,COLUMN())),OFFSET($BN$2,0,0,ROW()-1,60),ROW()-1,FALSE))</f>
        <v/>
      </c>
      <c r="BM113" t="str">
        <f ca="1">IF(AND(ISNUMBER($BM$310),$B$185=1),$BM$310,HLOOKUP(INDIRECT(ADDRESS(2,COLUMN())),OFFSET($BN$2,0,0,ROW()-1,60),ROW()-1,FALSE))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  <c r="BT113" t="str">
        <f>""</f>
        <v/>
      </c>
      <c r="BU113" t="str">
        <f>""</f>
        <v/>
      </c>
      <c r="BV113" t="str">
        <f>""</f>
        <v/>
      </c>
      <c r="BW113" t="str">
        <f>""</f>
        <v/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  <c r="CI113" t="str">
        <f>""</f>
        <v/>
      </c>
      <c r="CJ113" t="str">
        <f>""</f>
        <v/>
      </c>
      <c r="CK113" t="str">
        <f>""</f>
        <v/>
      </c>
      <c r="CL113" t="str">
        <f>""</f>
        <v/>
      </c>
      <c r="CM113" t="str">
        <f>""</f>
        <v/>
      </c>
      <c r="CN113" t="str">
        <f>""</f>
        <v/>
      </c>
      <c r="CO113" t="str">
        <f>""</f>
        <v/>
      </c>
      <c r="CP113" t="str">
        <f>""</f>
        <v/>
      </c>
      <c r="CQ113" t="str">
        <f>""</f>
        <v/>
      </c>
      <c r="CR113" t="str">
        <f>""</f>
        <v/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>
      <c r="A114" t="str">
        <f>"    Huntington Bancshares Inc/OH"</f>
        <v xml:space="preserve">    Huntington Bancshares Inc/OH</v>
      </c>
      <c r="B114" t="str">
        <f>"HBAN US Equity"</f>
        <v>HBAN US Equity</v>
      </c>
      <c r="C114" t="str">
        <f t="shared" si="13"/>
        <v>BS960</v>
      </c>
      <c r="D114" t="str">
        <f t="shared" si="14"/>
        <v>BS_RESIDENT_MTG_SERVICED_OTHERS</v>
      </c>
      <c r="E114" t="str">
        <f t="shared" si="15"/>
        <v>Dynamic</v>
      </c>
      <c r="F114">
        <f ca="1">IF(AND(ISNUMBER($F$311),$B$185=1),$F$311,HLOOKUP(INDIRECT(ADDRESS(2,COLUMN())),OFFSET($BN$2,0,0,ROW()-1,60),ROW()-1,FALSE))</f>
        <v>33696</v>
      </c>
      <c r="G114">
        <f ca="1">IF(AND(ISNUMBER($G$311),$B$185=1),$G$311,HLOOKUP(INDIRECT(ADDRESS(2,COLUMN())),OFFSET($BN$2,0,0,ROW()-1,60),ROW()-1,FALSE))</f>
        <v>33565</v>
      </c>
      <c r="H114">
        <f ca="1">IF(AND(ISNUMBER($H$311),$B$185=1),$H$311,HLOOKUP(INDIRECT(ADDRESS(2,COLUMN())),OFFSET($BN$2,0,0,ROW()-1,60),ROW()-1,FALSE))</f>
        <v>33404</v>
      </c>
      <c r="I114">
        <f ca="1">IF(AND(ISNUMBER($I$311),$B$185=1),$I$311,HLOOKUP(INDIRECT(ADDRESS(2,COLUMN())),OFFSET($BN$2,0,0,ROW()-1,60),ROW()-1,FALSE))</f>
        <v>33303</v>
      </c>
      <c r="J114">
        <f ca="1">IF(AND(ISNUMBER($J$311),$B$185=1),$J$311,HLOOKUP(INDIRECT(ADDRESS(2,COLUMN())),OFFSET($BN$2,0,0,ROW()-1,60),ROW()-1,FALSE))</f>
        <v>33237</v>
      </c>
      <c r="K114">
        <f ca="1">IF(AND(ISNUMBER($K$311),$B$185=1),$K$311,HLOOKUP(INDIRECT(ADDRESS(2,COLUMN())),OFFSET($BN$2,0,0,ROW()-1,60),ROW()-1,FALSE))</f>
        <v>32965</v>
      </c>
      <c r="L114">
        <f ca="1">IF(AND(ISNUMBER($L$311),$B$185=1),$L$311,HLOOKUP(INDIRECT(ADDRESS(2,COLUMN())),OFFSET($BN$2,0,0,ROW()-1,60),ROW()-1,FALSE))</f>
        <v>32712</v>
      </c>
      <c r="M114">
        <f ca="1">IF(AND(ISNUMBER($M$311),$B$185=1),$M$311,HLOOKUP(INDIRECT(ADDRESS(2,COLUMN())),OFFSET($BN$2,0,0,ROW()-1,60),ROW()-1,FALSE))</f>
        <v>32496</v>
      </c>
      <c r="N114">
        <f ca="1">IF(AND(ISNUMBER($N$311),$B$185=1),$N$311,HLOOKUP(INDIRECT(ADDRESS(2,COLUMN())),OFFSET($BN$2,0,0,ROW()-1,60),ROW()-1,FALSE))</f>
        <v>32354</v>
      </c>
      <c r="O114">
        <f ca="1">IF(AND(ISNUMBER($O$311),$B$185=1),$O$311,HLOOKUP(INDIRECT(ADDRESS(2,COLUMN())),OFFSET($BN$2,0,0,ROW()-1,60),ROW()-1,FALSE))</f>
        <v>31988</v>
      </c>
      <c r="P114">
        <f ca="1">IF(AND(ISNUMBER($P$311),$B$185=1),$P$311,HLOOKUP(INDIRECT(ADDRESS(2,COLUMN())),OFFSET($BN$2,0,0,ROW()-1,60),ROW()-1,FALSE))</f>
        <v>31704</v>
      </c>
      <c r="Q114">
        <f ca="1">IF(AND(ISNUMBER($Q$311),$B$185=1),$Q$311,HLOOKUP(INDIRECT(ADDRESS(2,COLUMN())),OFFSET($BN$2,0,0,ROW()-1,60),ROW()-1,FALSE))</f>
        <v>31570</v>
      </c>
      <c r="R114">
        <f ca="1">IF(AND(ISNUMBER($R$311),$B$185=1),$R$311,HLOOKUP(INDIRECT(ADDRESS(2,COLUMN())),OFFSET($BN$2,0,0,ROW()-1,60),ROW()-1,FALSE))</f>
        <v>31017</v>
      </c>
      <c r="S114">
        <f ca="1">IF(AND(ISNUMBER($S$311),$B$185=1),$S$311,HLOOKUP(INDIRECT(ADDRESS(2,COLUMN())),OFFSET($BN$2,0,0,ROW()-1,60),ROW()-1,FALSE))</f>
        <v>30554</v>
      </c>
      <c r="T114">
        <f ca="1">IF(AND(ISNUMBER($T$311),$B$185=1),$T$311,HLOOKUP(INDIRECT(ADDRESS(2,COLUMN())),OFFSET($BN$2,0,0,ROW()-1,60),ROW()-1,FALSE))</f>
        <v>30398</v>
      </c>
      <c r="U114">
        <f ca="1">IF(AND(ISNUMBER($U$311),$B$185=1),$U$311,HLOOKUP(INDIRECT(ADDRESS(2,COLUMN())),OFFSET($BN$2,0,0,ROW()-1,60),ROW()-1,FALSE))</f>
        <v>23585</v>
      </c>
      <c r="V114">
        <f ca="1">IF(AND(ISNUMBER($V$311),$B$185=1),$V$311,HLOOKUP(INDIRECT(ADDRESS(2,COLUMN())),OFFSET($BN$2,0,0,ROW()-1,60),ROW()-1,FALSE))</f>
        <v>23471</v>
      </c>
      <c r="W114">
        <f ca="1">IF(AND(ISNUMBER($W$311),$B$185=1),$W$311,HLOOKUP(INDIRECT(ADDRESS(2,COLUMN())),OFFSET($BN$2,0,0,ROW()-1,60),ROW()-1,FALSE))</f>
        <v>23334</v>
      </c>
      <c r="X114">
        <f ca="1">IF(AND(ISNUMBER($X$311),$B$185=1),$X$311,HLOOKUP(INDIRECT(ADDRESS(2,COLUMN())),OFFSET($BN$2,0,0,ROW()-1,60),ROW()-1,FALSE))</f>
        <v>23184</v>
      </c>
      <c r="Y114">
        <f ca="1">IF(AND(ISNUMBER($Y$311),$B$185=1),$Y$311,HLOOKUP(INDIRECT(ADDRESS(2,COLUMN())),OFFSET($BN$2,0,0,ROW()-1,60),ROW()-1,FALSE))</f>
        <v>22775</v>
      </c>
      <c r="Z114">
        <f ca="1">IF(AND(ISNUMBER($Z$311),$B$185=1),$Z$311,HLOOKUP(INDIRECT(ADDRESS(2,COLUMN())),OFFSET($BN$2,0,0,ROW()-1,60),ROW()-1,FALSE))</f>
        <v>22425</v>
      </c>
      <c r="AA114">
        <f ca="1">IF(AND(ISNUMBER($AA$311),$B$185=1),$AA$311,HLOOKUP(INDIRECT(ADDRESS(2,COLUMN())),OFFSET($BN$2,0,0,ROW()-1,60),ROW()-1,FALSE))</f>
        <v>21674</v>
      </c>
      <c r="AB114">
        <f ca="1">IF(AND(ISNUMBER($AB$311),$B$185=1),$AB$311,HLOOKUP(INDIRECT(ADDRESS(2,COLUMN())),OFFSET($BN$2,0,0,ROW()-1,60),ROW()-1,FALSE))</f>
        <v>21486</v>
      </c>
      <c r="AC114">
        <f ca="1">IF(AND(ISNUMBER($AC$311),$B$185=1),$AC$311,HLOOKUP(INDIRECT(ADDRESS(2,COLUMN())),OFFSET($BN$2,0,0,ROW()-1,60),ROW()-1,FALSE))</f>
        <v>21346</v>
      </c>
      <c r="AD114">
        <f ca="1">IF(AND(ISNUMBER($AD$311),$B$185=1),$AD$311,HLOOKUP(INDIRECT(ADDRESS(2,COLUMN())),OFFSET($BN$2,0,0,ROW()-1,60),ROW()-1,FALSE))</f>
        <v>21068</v>
      </c>
      <c r="AE114">
        <f ca="1">IF(AND(ISNUMBER($AE$311),$B$185=1),$AE$311,HLOOKUP(INDIRECT(ADDRESS(2,COLUMN())),OFFSET($BN$2,0,0,ROW()-1,60),ROW()-1,FALSE))</f>
        <v>20617</v>
      </c>
      <c r="AF114">
        <f ca="1">IF(AND(ISNUMBER($AF$311),$B$185=1),$AF$311,HLOOKUP(INDIRECT(ADDRESS(2,COLUMN())),OFFSET($BN$2,0,0,ROW()-1,60),ROW()-1,FALSE))</f>
        <v>20416</v>
      </c>
      <c r="AG114">
        <f ca="1">IF(AND(ISNUMBER($AG$311),$B$185=1),$AG$311,HLOOKUP(INDIRECT(ADDRESS(2,COLUMN())),OFFSET($BN$2,0,0,ROW()-1,60),ROW()-1,FALSE))</f>
        <v>20225</v>
      </c>
      <c r="AH114">
        <f ca="1">IF(AND(ISNUMBER($AH$311),$B$185=1),$AH$311,HLOOKUP(INDIRECT(ADDRESS(2,COLUMN())),OFFSET($BN$2,0,0,ROW()-1,60),ROW()-1,FALSE))</f>
        <v>19989</v>
      </c>
      <c r="AI114">
        <f ca="1">IF(AND(ISNUMBER($AI$311),$B$185=1),$AI$311,HLOOKUP(INDIRECT(ADDRESS(2,COLUMN())),OFFSET($BN$2,0,0,ROW()-1,60),ROW()-1,FALSE))</f>
        <v>19552</v>
      </c>
      <c r="AJ114">
        <f ca="1">IF(AND(ISNUMBER($AJ$311),$B$185=1),$AJ$311,HLOOKUP(INDIRECT(ADDRESS(2,COLUMN())),OFFSET($BN$2,0,0,ROW()-1,60),ROW()-1,FALSE))</f>
        <v>19111</v>
      </c>
      <c r="AK114">
        <f ca="1">IF(AND(ISNUMBER($AK$311),$B$185=1),$AK$311,HLOOKUP(INDIRECT(ADDRESS(2,COLUMN())),OFFSET($BN$2,0,0,ROW()-1,60),ROW()-1,FALSE))</f>
        <v>19051</v>
      </c>
      <c r="AL114">
        <f ca="1">IF(AND(ISNUMBER($AL$311),$B$185=1),$AL$311,HLOOKUP(INDIRECT(ADDRESS(2,COLUMN())),OFFSET($BN$2,0,0,ROW()-1,60),ROW()-1,FALSE))</f>
        <v>18852</v>
      </c>
      <c r="AM114">
        <f ca="1">IF(AND(ISNUMBER($AM$311),$B$185=1),$AM$311,HLOOKUP(INDIRECT(ADDRESS(2,COLUMN())),OFFSET($BN$2,0,0,ROW()-1,60),ROW()-1,FALSE))</f>
        <v>18631</v>
      </c>
      <c r="AN114">
        <f ca="1">IF(AND(ISNUMBER($AN$311),$B$185=1),$AN$311,HLOOKUP(INDIRECT(ADDRESS(2,COLUMN())),OFFSET($BN$2,0,0,ROW()-1,60),ROW()-1,FALSE))</f>
        <v>16211</v>
      </c>
      <c r="AO114">
        <f ca="1">IF(AND(ISNUMBER($AO$311),$B$185=1),$AO$311,HLOOKUP(INDIRECT(ADDRESS(2,COLUMN())),OFFSET($BN$2,0,0,ROW()-1,60),ROW()-1,FALSE))</f>
        <v>16239</v>
      </c>
      <c r="AP114">
        <f ca="1">IF(AND(ISNUMBER($AP$311),$B$185=1),$AP$311,HLOOKUP(INDIRECT(ADDRESS(2,COLUMN())),OFFSET($BN$2,0,0,ROW()-1,60),ROW()-1,FALSE))</f>
        <v>16168</v>
      </c>
      <c r="AQ114">
        <f ca="1">IF(AND(ISNUMBER($AQ$311),$B$185=1),$AQ$311,HLOOKUP(INDIRECT(ADDRESS(2,COLUMN())),OFFSET($BN$2,0,0,ROW()-1,60),ROW()-1,FALSE))</f>
        <v>15941</v>
      </c>
      <c r="AR114">
        <f ca="1">IF(AND(ISNUMBER($AR$311),$B$185=1),$AR$311,HLOOKUP(INDIRECT(ADDRESS(2,COLUMN())),OFFSET($BN$2,0,0,ROW()-1,60),ROW()-1,FALSE))</f>
        <v>15722</v>
      </c>
      <c r="AS114">
        <f ca="1">IF(AND(ISNUMBER($AS$311),$B$185=1),$AS$311,HLOOKUP(INDIRECT(ADDRESS(2,COLUMN())),OFFSET($BN$2,0,0,ROW()-1,60),ROW()-1,FALSE))</f>
        <v>15569</v>
      </c>
      <c r="AT114">
        <f ca="1">IF(AND(ISNUMBER($AT$311),$B$185=1),$AT$311,HLOOKUP(INDIRECT(ADDRESS(2,COLUMN())),OFFSET($BN$2,0,0,ROW()-1,60),ROW()-1,FALSE))</f>
        <v>15637</v>
      </c>
      <c r="AU114">
        <f ca="1">IF(AND(ISNUMBER($AU$311),$B$185=1),$AU$311,HLOOKUP(INDIRECT(ADDRESS(2,COLUMN())),OFFSET($BN$2,0,0,ROW()-1,60),ROW()-1,FALSE))</f>
        <v>15.593</v>
      </c>
      <c r="AV114">
        <f ca="1">IF(AND(ISNUMBER($AV$311),$B$185=1),$AV$311,HLOOKUP(INDIRECT(ADDRESS(2,COLUMN())),OFFSET($BN$2,0,0,ROW()-1,60),ROW()-1,FALSE))</f>
        <v>15560</v>
      </c>
      <c r="AW114">
        <f ca="1">IF(AND(ISNUMBER($AW$311),$B$185=1),$AW$311,HLOOKUP(INDIRECT(ADDRESS(2,COLUMN())),OFFSET($BN$2,0,0,ROW()-1,60),ROW()-1,FALSE))</f>
        <v>15614</v>
      </c>
      <c r="AX114">
        <f ca="1">IF(AND(ISNUMBER($AX$311),$B$185=1),$AX$311,HLOOKUP(INDIRECT(ADDRESS(2,COLUMN())),OFFSET($BN$2,0,0,ROW()-1,60),ROW()-1,FALSE))</f>
        <v>15239</v>
      </c>
      <c r="AY114">
        <f ca="1">IF(AND(ISNUMBER($AY$311),$B$185=1),$AY$311,HLOOKUP(INDIRECT(ADDRESS(2,COLUMN())),OFFSET($BN$2,0,0,ROW()-1,60),ROW()-1,FALSE))</f>
        <v>30.462</v>
      </c>
      <c r="AZ114">
        <f ca="1">IF(AND(ISNUMBER($AZ$311),$B$185=1),$AZ$311,HLOOKUP(INDIRECT(ADDRESS(2,COLUMN())),OFFSET($BN$2,0,0,ROW()-1,60),ROW()-1,FALSE))</f>
        <v>15213</v>
      </c>
      <c r="BA114">
        <f ca="1">IF(AND(ISNUMBER($BA$311),$B$185=1),$BA$311,HLOOKUP(INDIRECT(ADDRESS(2,COLUMN())),OFFSET($BN$2,0,0,ROW()-1,60),ROW()-1,FALSE))</f>
        <v>15367</v>
      </c>
      <c r="BB114">
        <f ca="1">IF(AND(ISNUMBER($BB$311),$B$185=1),$BB$311,HLOOKUP(INDIRECT(ADDRESS(2,COLUMN())),OFFSET($BN$2,0,0,ROW()-1,60),ROW()-1,FALSE))</f>
        <v>15623</v>
      </c>
      <c r="BC114">
        <f ca="1">IF(AND(ISNUMBER($BC$311),$B$185=1),$BC$311,HLOOKUP(INDIRECT(ADDRESS(2,COLUMN())),OFFSET($BN$2,0,0,ROW()-1,60),ROW()-1,FALSE))</f>
        <v>15571</v>
      </c>
      <c r="BD114">
        <f ca="1">IF(AND(ISNUMBER($BD$311),$B$185=1),$BD$311,HLOOKUP(INDIRECT(ADDRESS(2,COLUMN())),OFFSET($BN$2,0,0,ROW()-1,60),ROW()-1,FALSE))</f>
        <v>15724</v>
      </c>
      <c r="BE114">
        <f ca="1">IF(AND(ISNUMBER($BE$311),$B$185=1),$BE$311,HLOOKUP(INDIRECT(ADDRESS(2,COLUMN())),OFFSET($BN$2,0,0,ROW()-1,60),ROW()-1,FALSE))</f>
        <v>15902</v>
      </c>
      <c r="BF114">
        <f ca="1">IF(AND(ISNUMBER($BF$311),$B$185=1),$BF$311,HLOOKUP(INDIRECT(ADDRESS(2,COLUMN())),OFFSET($BN$2,0,0,ROW()-1,60),ROW()-1,FALSE))</f>
        <v>15886</v>
      </c>
      <c r="BG114">
        <f ca="1">IF(AND(ISNUMBER($BG$311),$B$185=1),$BG$311,HLOOKUP(INDIRECT(ADDRESS(2,COLUMN())),OFFSET($BN$2,0,0,ROW()-1,60),ROW()-1,FALSE))</f>
        <v>16061</v>
      </c>
      <c r="BH114">
        <f ca="1">IF(AND(ISNUMBER($BH$311),$B$185=1),$BH$311,HLOOKUP(INDIRECT(ADDRESS(2,COLUMN())),OFFSET($BN$2,0,0,ROW()-1,60),ROW()-1,FALSE))</f>
        <v>16315</v>
      </c>
      <c r="BI114">
        <f ca="1">IF(AND(ISNUMBER($BI$311),$B$185=1),$BI$311,HLOOKUP(INDIRECT(ADDRESS(2,COLUMN())),OFFSET($BN$2,0,0,ROW()-1,60),ROW()-1,FALSE))</f>
        <v>16456</v>
      </c>
      <c r="BJ114" t="str">
        <f ca="1">IF(AND(ISNUMBER($BJ$311),$B$185=1),$BJ$311,HLOOKUP(INDIRECT(ADDRESS(2,COLUMN())),OFFSET($BN$2,0,0,ROW()-1,60),ROW()-1,FALSE))</f>
        <v/>
      </c>
      <c r="BK114">
        <f ca="1">IF(AND(ISNUMBER($BK$311),$B$185=1),$BK$311,HLOOKUP(INDIRECT(ADDRESS(2,COLUMN())),OFFSET($BN$2,0,0,ROW()-1,60),ROW()-1,FALSE))</f>
        <v>15713</v>
      </c>
      <c r="BL114">
        <f ca="1">IF(AND(ISNUMBER($BL$311),$B$185=1),$BL$311,HLOOKUP(INDIRECT(ADDRESS(2,COLUMN())),OFFSET($BN$2,0,0,ROW()-1,60),ROW()-1,FALSE))</f>
        <v>15954</v>
      </c>
      <c r="BM114" t="str">
        <f ca="1">IF(AND(ISNUMBER($BM$311),$B$185=1),$BM$311,HLOOKUP(INDIRECT(ADDRESS(2,COLUMN())),OFFSET($BN$2,0,0,ROW()-1,60),ROW()-1,FALSE))</f>
        <v/>
      </c>
      <c r="BN114">
        <f>33696</f>
        <v>33696</v>
      </c>
      <c r="BO114">
        <f>33565</f>
        <v>33565</v>
      </c>
      <c r="BP114">
        <f>33404</f>
        <v>33404</v>
      </c>
      <c r="BQ114">
        <f>33303</f>
        <v>33303</v>
      </c>
      <c r="BR114">
        <f>33237</f>
        <v>33237</v>
      </c>
      <c r="BS114">
        <f>32965</f>
        <v>32965</v>
      </c>
      <c r="BT114">
        <f>32712</f>
        <v>32712</v>
      </c>
      <c r="BU114">
        <f>32496</f>
        <v>32496</v>
      </c>
      <c r="BV114">
        <f>32354</f>
        <v>32354</v>
      </c>
      <c r="BW114">
        <f>31988</f>
        <v>31988</v>
      </c>
      <c r="BX114">
        <f>31704</f>
        <v>31704</v>
      </c>
      <c r="BY114">
        <f>31570</f>
        <v>31570</v>
      </c>
      <c r="BZ114">
        <f>31017</f>
        <v>31017</v>
      </c>
      <c r="CA114">
        <f>30554</f>
        <v>30554</v>
      </c>
      <c r="CB114">
        <f>30398</f>
        <v>30398</v>
      </c>
      <c r="CC114">
        <f>23585</f>
        <v>23585</v>
      </c>
      <c r="CD114">
        <f>23471</f>
        <v>23471</v>
      </c>
      <c r="CE114">
        <f>23334</f>
        <v>23334</v>
      </c>
      <c r="CF114">
        <f>23184</f>
        <v>23184</v>
      </c>
      <c r="CG114">
        <f>22775</f>
        <v>22775</v>
      </c>
      <c r="CH114">
        <f>22425</f>
        <v>22425</v>
      </c>
      <c r="CI114">
        <f>21674</f>
        <v>21674</v>
      </c>
      <c r="CJ114">
        <f>21486</f>
        <v>21486</v>
      </c>
      <c r="CK114">
        <f>21346</f>
        <v>21346</v>
      </c>
      <c r="CL114">
        <f>21068</f>
        <v>21068</v>
      </c>
      <c r="CM114">
        <f>20617</f>
        <v>20617</v>
      </c>
      <c r="CN114">
        <f>20416</f>
        <v>20416</v>
      </c>
      <c r="CO114">
        <f>20225</f>
        <v>20225</v>
      </c>
      <c r="CP114">
        <f>19989</f>
        <v>19989</v>
      </c>
      <c r="CQ114">
        <f>19552</f>
        <v>19552</v>
      </c>
      <c r="CR114">
        <f>19111</f>
        <v>19111</v>
      </c>
      <c r="CS114">
        <f>19051</f>
        <v>19051</v>
      </c>
      <c r="CT114">
        <f>18852</f>
        <v>18852</v>
      </c>
      <c r="CU114">
        <f>18631</f>
        <v>18631</v>
      </c>
      <c r="CV114">
        <f>16211</f>
        <v>16211</v>
      </c>
      <c r="CW114">
        <f>16239</f>
        <v>16239</v>
      </c>
      <c r="CX114">
        <f>16168</f>
        <v>16168</v>
      </c>
      <c r="CY114">
        <f>15941</f>
        <v>15941</v>
      </c>
      <c r="CZ114">
        <f>15722</f>
        <v>15722</v>
      </c>
      <c r="DA114">
        <f>15569</f>
        <v>15569</v>
      </c>
      <c r="DB114">
        <f>15637</f>
        <v>15637</v>
      </c>
      <c r="DC114">
        <f>15.593</f>
        <v>15.593</v>
      </c>
      <c r="DD114">
        <f>15560</f>
        <v>15560</v>
      </c>
      <c r="DE114">
        <f>15614</f>
        <v>15614</v>
      </c>
      <c r="DF114">
        <f>15239</f>
        <v>15239</v>
      </c>
      <c r="DG114">
        <f>30.462</f>
        <v>30.462</v>
      </c>
      <c r="DH114">
        <f>15213</f>
        <v>15213</v>
      </c>
      <c r="DI114">
        <f>15367</f>
        <v>15367</v>
      </c>
      <c r="DJ114">
        <f>15623</f>
        <v>15623</v>
      </c>
      <c r="DK114">
        <f>15571</f>
        <v>15571</v>
      </c>
      <c r="DL114">
        <f>15724</f>
        <v>15724</v>
      </c>
      <c r="DM114">
        <f>15902</f>
        <v>15902</v>
      </c>
      <c r="DN114">
        <f>15886</f>
        <v>15886</v>
      </c>
      <c r="DO114">
        <f>16061</f>
        <v>16061</v>
      </c>
      <c r="DP114">
        <f>16315</f>
        <v>16315</v>
      </c>
      <c r="DQ114">
        <f>16456</f>
        <v>16456</v>
      </c>
      <c r="DR114" t="str">
        <f>""</f>
        <v/>
      </c>
      <c r="DS114">
        <f>15713</f>
        <v>15713</v>
      </c>
      <c r="DT114">
        <f>15954</f>
        <v>15954</v>
      </c>
      <c r="DU114" t="str">
        <f>""</f>
        <v/>
      </c>
    </row>
    <row r="115" spans="1:125">
      <c r="A115" t="str">
        <f>"    KeyCorp"</f>
        <v xml:space="preserve">    KeyCorp</v>
      </c>
      <c r="B115" t="str">
        <f>"KEY US Equity"</f>
        <v>KEY US Equity</v>
      </c>
      <c r="C115" t="str">
        <f t="shared" si="13"/>
        <v>BS960</v>
      </c>
      <c r="D115" t="str">
        <f t="shared" si="14"/>
        <v>BS_RESIDENT_MTG_SERVICED_OTHERS</v>
      </c>
      <c r="E115" t="str">
        <f t="shared" si="15"/>
        <v>Dynamic</v>
      </c>
      <c r="F115" t="str">
        <f ca="1">IF(AND(ISNUMBER($F$312),$B$185=1),$F$312,HLOOKUP(INDIRECT(ADDRESS(2,COLUMN())),OFFSET($BN$2,0,0,ROW()-1,60),ROW()-1,FALSE))</f>
        <v/>
      </c>
      <c r="G115" t="str">
        <f ca="1">IF(AND(ISNUMBER($G$312),$B$185=1),$G$312,HLOOKUP(INDIRECT(ADDRESS(2,COLUMN())),OFFSET($BN$2,0,0,ROW()-1,60),ROW()-1,FALSE))</f>
        <v/>
      </c>
      <c r="H115" t="str">
        <f ca="1">IF(AND(ISNUMBER($H$312),$B$185=1),$H$312,HLOOKUP(INDIRECT(ADDRESS(2,COLUMN())),OFFSET($BN$2,0,0,ROW()-1,60),ROW()-1,FALSE))</f>
        <v/>
      </c>
      <c r="I115" t="str">
        <f ca="1">IF(AND(ISNUMBER($I$312),$B$185=1),$I$312,HLOOKUP(INDIRECT(ADDRESS(2,COLUMN())),OFFSET($BN$2,0,0,ROW()-1,60),ROW()-1,FALSE))</f>
        <v/>
      </c>
      <c r="J115" t="str">
        <f ca="1">IF(AND(ISNUMBER($J$312),$B$185=1),$J$312,HLOOKUP(INDIRECT(ADDRESS(2,COLUMN())),OFFSET($BN$2,0,0,ROW()-1,60),ROW()-1,FALSE))</f>
        <v/>
      </c>
      <c r="K115" t="str">
        <f ca="1">IF(AND(ISNUMBER($K$312),$B$185=1),$K$312,HLOOKUP(INDIRECT(ADDRESS(2,COLUMN())),OFFSET($BN$2,0,0,ROW()-1,60),ROW()-1,FALSE))</f>
        <v/>
      </c>
      <c r="L115" t="str">
        <f ca="1">IF(AND(ISNUMBER($L$312),$B$185=1),$L$312,HLOOKUP(INDIRECT(ADDRESS(2,COLUMN())),OFFSET($BN$2,0,0,ROW()-1,60),ROW()-1,FALSE))</f>
        <v/>
      </c>
      <c r="M115" t="str">
        <f ca="1">IF(AND(ISNUMBER($M$312),$B$185=1),$M$312,HLOOKUP(INDIRECT(ADDRESS(2,COLUMN())),OFFSET($BN$2,0,0,ROW()-1,60),ROW()-1,FALSE))</f>
        <v/>
      </c>
      <c r="N115" t="str">
        <f ca="1">IF(AND(ISNUMBER($N$312),$B$185=1),$N$312,HLOOKUP(INDIRECT(ADDRESS(2,COLUMN())),OFFSET($BN$2,0,0,ROW()-1,60),ROW()-1,FALSE))</f>
        <v/>
      </c>
      <c r="O115" t="str">
        <f ca="1">IF(AND(ISNUMBER($O$312),$B$185=1),$O$312,HLOOKUP(INDIRECT(ADDRESS(2,COLUMN())),OFFSET($BN$2,0,0,ROW()-1,60),ROW()-1,FALSE))</f>
        <v/>
      </c>
      <c r="P115" t="str">
        <f ca="1">IF(AND(ISNUMBER($P$312),$B$185=1),$P$312,HLOOKUP(INDIRECT(ADDRESS(2,COLUMN())),OFFSET($BN$2,0,0,ROW()-1,60),ROW()-1,FALSE))</f>
        <v/>
      </c>
      <c r="Q115" t="str">
        <f ca="1">IF(AND(ISNUMBER($Q$312),$B$185=1),$Q$312,HLOOKUP(INDIRECT(ADDRESS(2,COLUMN())),OFFSET($BN$2,0,0,ROW()-1,60),ROW()-1,FALSE))</f>
        <v/>
      </c>
      <c r="R115" t="str">
        <f ca="1">IF(AND(ISNUMBER($R$312),$B$185=1),$R$312,HLOOKUP(INDIRECT(ADDRESS(2,COLUMN())),OFFSET($BN$2,0,0,ROW()-1,60),ROW()-1,FALSE))</f>
        <v/>
      </c>
      <c r="S115" t="str">
        <f ca="1">IF(AND(ISNUMBER($S$312),$B$185=1),$S$312,HLOOKUP(INDIRECT(ADDRESS(2,COLUMN())),OFFSET($BN$2,0,0,ROW()-1,60),ROW()-1,FALSE))</f>
        <v/>
      </c>
      <c r="T115" t="str">
        <f ca="1">IF(AND(ISNUMBER($T$312),$B$185=1),$T$312,HLOOKUP(INDIRECT(ADDRESS(2,COLUMN())),OFFSET($BN$2,0,0,ROW()-1,60),ROW()-1,FALSE))</f>
        <v/>
      </c>
      <c r="U115" t="str">
        <f ca="1">IF(AND(ISNUMBER($U$312),$B$185=1),$U$312,HLOOKUP(INDIRECT(ADDRESS(2,COLUMN())),OFFSET($BN$2,0,0,ROW()-1,60),ROW()-1,FALSE))</f>
        <v/>
      </c>
      <c r="V115" t="str">
        <f ca="1">IF(AND(ISNUMBER($V$312),$B$185=1),$V$312,HLOOKUP(INDIRECT(ADDRESS(2,COLUMN())),OFFSET($BN$2,0,0,ROW()-1,60),ROW()-1,FALSE))</f>
        <v/>
      </c>
      <c r="W115" t="str">
        <f ca="1">IF(AND(ISNUMBER($W$312),$B$185=1),$W$312,HLOOKUP(INDIRECT(ADDRESS(2,COLUMN())),OFFSET($BN$2,0,0,ROW()-1,60),ROW()-1,FALSE))</f>
        <v/>
      </c>
      <c r="X115" t="str">
        <f ca="1">IF(AND(ISNUMBER($X$312),$B$185=1),$X$312,HLOOKUP(INDIRECT(ADDRESS(2,COLUMN())),OFFSET($BN$2,0,0,ROW()-1,60),ROW()-1,FALSE))</f>
        <v/>
      </c>
      <c r="Y115" t="str">
        <f ca="1">IF(AND(ISNUMBER($Y$312),$B$185=1),$Y$312,HLOOKUP(INDIRECT(ADDRESS(2,COLUMN())),OFFSET($BN$2,0,0,ROW()-1,60),ROW()-1,FALSE))</f>
        <v/>
      </c>
      <c r="Z115" t="str">
        <f ca="1">IF(AND(ISNUMBER($Z$312),$B$185=1),$Z$312,HLOOKUP(INDIRECT(ADDRESS(2,COLUMN())),OFFSET($BN$2,0,0,ROW()-1,60),ROW()-1,FALSE))</f>
        <v/>
      </c>
      <c r="AA115" t="str">
        <f ca="1">IF(AND(ISNUMBER($AA$312),$B$185=1),$AA$312,HLOOKUP(INDIRECT(ADDRESS(2,COLUMN())),OFFSET($BN$2,0,0,ROW()-1,60),ROW()-1,FALSE))</f>
        <v/>
      </c>
      <c r="AB115" t="str">
        <f ca="1">IF(AND(ISNUMBER($AB$312),$B$185=1),$AB$312,HLOOKUP(INDIRECT(ADDRESS(2,COLUMN())),OFFSET($BN$2,0,0,ROW()-1,60),ROW()-1,FALSE))</f>
        <v/>
      </c>
      <c r="AC115" t="str">
        <f ca="1">IF(AND(ISNUMBER($AC$312),$B$185=1),$AC$312,HLOOKUP(INDIRECT(ADDRESS(2,COLUMN())),OFFSET($BN$2,0,0,ROW()-1,60),ROW()-1,FALSE))</f>
        <v/>
      </c>
      <c r="AD115" t="str">
        <f ca="1">IF(AND(ISNUMBER($AD$312),$B$185=1),$AD$312,HLOOKUP(INDIRECT(ADDRESS(2,COLUMN())),OFFSET($BN$2,0,0,ROW()-1,60),ROW()-1,FALSE))</f>
        <v/>
      </c>
      <c r="AE115" t="str">
        <f ca="1">IF(AND(ISNUMBER($AE$312),$B$185=1),$AE$312,HLOOKUP(INDIRECT(ADDRESS(2,COLUMN())),OFFSET($BN$2,0,0,ROW()-1,60),ROW()-1,FALSE))</f>
        <v/>
      </c>
      <c r="AF115" t="str">
        <f ca="1">IF(AND(ISNUMBER($AF$312),$B$185=1),$AF$312,HLOOKUP(INDIRECT(ADDRESS(2,COLUMN())),OFFSET($BN$2,0,0,ROW()-1,60),ROW()-1,FALSE))</f>
        <v/>
      </c>
      <c r="AG115" t="str">
        <f ca="1">IF(AND(ISNUMBER($AG$312),$B$185=1),$AG$312,HLOOKUP(INDIRECT(ADDRESS(2,COLUMN())),OFFSET($BN$2,0,0,ROW()-1,60),ROW()-1,FALSE))</f>
        <v/>
      </c>
      <c r="AH115" t="str">
        <f ca="1">IF(AND(ISNUMBER($AH$312),$B$185=1),$AH$312,HLOOKUP(INDIRECT(ADDRESS(2,COLUMN())),OFFSET($BN$2,0,0,ROW()-1,60),ROW()-1,FALSE))</f>
        <v/>
      </c>
      <c r="AI115" t="str">
        <f ca="1">IF(AND(ISNUMBER($AI$312),$B$185=1),$AI$312,HLOOKUP(INDIRECT(ADDRESS(2,COLUMN())),OFFSET($BN$2,0,0,ROW()-1,60),ROW()-1,FALSE))</f>
        <v/>
      </c>
      <c r="AJ115" t="str">
        <f ca="1">IF(AND(ISNUMBER($AJ$312),$B$185=1),$AJ$312,HLOOKUP(INDIRECT(ADDRESS(2,COLUMN())),OFFSET($BN$2,0,0,ROW()-1,60),ROW()-1,FALSE))</f>
        <v/>
      </c>
      <c r="AK115" t="str">
        <f ca="1">IF(AND(ISNUMBER($AK$312),$B$185=1),$AK$312,HLOOKUP(INDIRECT(ADDRESS(2,COLUMN())),OFFSET($BN$2,0,0,ROW()-1,60),ROW()-1,FALSE))</f>
        <v/>
      </c>
      <c r="AL115" t="str">
        <f ca="1">IF(AND(ISNUMBER($AL$312),$B$185=1),$AL$312,HLOOKUP(INDIRECT(ADDRESS(2,COLUMN())),OFFSET($BN$2,0,0,ROW()-1,60),ROW()-1,FALSE))</f>
        <v/>
      </c>
      <c r="AM115" t="str">
        <f ca="1">IF(AND(ISNUMBER($AM$312),$B$185=1),$AM$312,HLOOKUP(INDIRECT(ADDRESS(2,COLUMN())),OFFSET($BN$2,0,0,ROW()-1,60),ROW()-1,FALSE))</f>
        <v/>
      </c>
      <c r="AN115" t="str">
        <f ca="1">IF(AND(ISNUMBER($AN$312),$B$185=1),$AN$312,HLOOKUP(INDIRECT(ADDRESS(2,COLUMN())),OFFSET($BN$2,0,0,ROW()-1,60),ROW()-1,FALSE))</f>
        <v/>
      </c>
      <c r="AO115" t="str">
        <f ca="1">IF(AND(ISNUMBER($AO$312),$B$185=1),$AO$312,HLOOKUP(INDIRECT(ADDRESS(2,COLUMN())),OFFSET($BN$2,0,0,ROW()-1,60),ROW()-1,FALSE))</f>
        <v/>
      </c>
      <c r="AP115" t="str">
        <f ca="1">IF(AND(ISNUMBER($AP$312),$B$185=1),$AP$312,HLOOKUP(INDIRECT(ADDRESS(2,COLUMN())),OFFSET($BN$2,0,0,ROW()-1,60),ROW()-1,FALSE))</f>
        <v/>
      </c>
      <c r="AQ115" t="str">
        <f ca="1">IF(AND(ISNUMBER($AQ$312),$B$185=1),$AQ$312,HLOOKUP(INDIRECT(ADDRESS(2,COLUMN())),OFFSET($BN$2,0,0,ROW()-1,60),ROW()-1,FALSE))</f>
        <v/>
      </c>
      <c r="AR115" t="str">
        <f ca="1">IF(AND(ISNUMBER($AR$312),$B$185=1),$AR$312,HLOOKUP(INDIRECT(ADDRESS(2,COLUMN())),OFFSET($BN$2,0,0,ROW()-1,60),ROW()-1,FALSE))</f>
        <v/>
      </c>
      <c r="AS115" t="str">
        <f ca="1">IF(AND(ISNUMBER($AS$312),$B$185=1),$AS$312,HLOOKUP(INDIRECT(ADDRESS(2,COLUMN())),OFFSET($BN$2,0,0,ROW()-1,60),ROW()-1,FALSE))</f>
        <v/>
      </c>
      <c r="AT115" t="str">
        <f ca="1">IF(AND(ISNUMBER($AT$312),$B$185=1),$AT$312,HLOOKUP(INDIRECT(ADDRESS(2,COLUMN())),OFFSET($BN$2,0,0,ROW()-1,60),ROW()-1,FALSE))</f>
        <v/>
      </c>
      <c r="AU115" t="str">
        <f ca="1">IF(AND(ISNUMBER($AU$312),$B$185=1),$AU$312,HLOOKUP(INDIRECT(ADDRESS(2,COLUMN())),OFFSET($BN$2,0,0,ROW()-1,60),ROW()-1,FALSE))</f>
        <v/>
      </c>
      <c r="AV115" t="str">
        <f ca="1">IF(AND(ISNUMBER($AV$312),$B$185=1),$AV$312,HLOOKUP(INDIRECT(ADDRESS(2,COLUMN())),OFFSET($BN$2,0,0,ROW()-1,60),ROW()-1,FALSE))</f>
        <v/>
      </c>
      <c r="AW115" t="str">
        <f ca="1">IF(AND(ISNUMBER($AW$312),$B$185=1),$AW$312,HLOOKUP(INDIRECT(ADDRESS(2,COLUMN())),OFFSET($BN$2,0,0,ROW()-1,60),ROW()-1,FALSE))</f>
        <v/>
      </c>
      <c r="AX115" t="str">
        <f ca="1">IF(AND(ISNUMBER($AX$312),$B$185=1),$AX$312,HLOOKUP(INDIRECT(ADDRESS(2,COLUMN())),OFFSET($BN$2,0,0,ROW()-1,60),ROW()-1,FALSE))</f>
        <v/>
      </c>
      <c r="AY115" t="str">
        <f ca="1">IF(AND(ISNUMBER($AY$312),$B$185=1),$AY$312,HLOOKUP(INDIRECT(ADDRESS(2,COLUMN())),OFFSET($BN$2,0,0,ROW()-1,60),ROW()-1,FALSE))</f>
        <v/>
      </c>
      <c r="AZ115" t="str">
        <f ca="1">IF(AND(ISNUMBER($AZ$312),$B$185=1),$AZ$312,HLOOKUP(INDIRECT(ADDRESS(2,COLUMN())),OFFSET($BN$2,0,0,ROW()-1,60),ROW()-1,FALSE))</f>
        <v/>
      </c>
      <c r="BA115" t="str">
        <f ca="1">IF(AND(ISNUMBER($BA$312),$B$185=1),$BA$312,HLOOKUP(INDIRECT(ADDRESS(2,COLUMN())),OFFSET($BN$2,0,0,ROW()-1,60),ROW()-1,FALSE))</f>
        <v/>
      </c>
      <c r="BB115" t="str">
        <f ca="1">IF(AND(ISNUMBER($BB$312),$B$185=1),$BB$312,HLOOKUP(INDIRECT(ADDRESS(2,COLUMN())),OFFSET($BN$2,0,0,ROW()-1,60),ROW()-1,FALSE))</f>
        <v/>
      </c>
      <c r="BC115" t="str">
        <f ca="1">IF(AND(ISNUMBER($BC$312),$B$185=1),$BC$312,HLOOKUP(INDIRECT(ADDRESS(2,COLUMN())),OFFSET($BN$2,0,0,ROW()-1,60),ROW()-1,FALSE))</f>
        <v/>
      </c>
      <c r="BD115" t="str">
        <f ca="1">IF(AND(ISNUMBER($BD$312),$B$185=1),$BD$312,HLOOKUP(INDIRECT(ADDRESS(2,COLUMN())),OFFSET($BN$2,0,0,ROW()-1,60),ROW()-1,FALSE))</f>
        <v/>
      </c>
      <c r="BE115" t="str">
        <f ca="1">IF(AND(ISNUMBER($BE$312),$B$185=1),$BE$312,HLOOKUP(INDIRECT(ADDRESS(2,COLUMN())),OFFSET($BN$2,0,0,ROW()-1,60),ROW()-1,FALSE))</f>
        <v/>
      </c>
      <c r="BF115" t="str">
        <f ca="1">IF(AND(ISNUMBER($BF$312),$B$185=1),$BF$312,HLOOKUP(INDIRECT(ADDRESS(2,COLUMN())),OFFSET($BN$2,0,0,ROW()-1,60),ROW()-1,FALSE))</f>
        <v/>
      </c>
      <c r="BG115" t="str">
        <f ca="1">IF(AND(ISNUMBER($BG$312),$B$185=1),$BG$312,HLOOKUP(INDIRECT(ADDRESS(2,COLUMN())),OFFSET($BN$2,0,0,ROW()-1,60),ROW()-1,FALSE))</f>
        <v/>
      </c>
      <c r="BH115" t="str">
        <f ca="1">IF(AND(ISNUMBER($BH$312),$B$185=1),$BH$312,HLOOKUP(INDIRECT(ADDRESS(2,COLUMN())),OFFSET($BN$2,0,0,ROW()-1,60),ROW()-1,FALSE))</f>
        <v/>
      </c>
      <c r="BI115" t="str">
        <f ca="1">IF(AND(ISNUMBER($BI$312),$B$185=1),$BI$312,HLOOKUP(INDIRECT(ADDRESS(2,COLUMN())),OFFSET($BN$2,0,0,ROW()-1,60),ROW()-1,FALSE))</f>
        <v/>
      </c>
      <c r="BJ115" t="str">
        <f ca="1">IF(AND(ISNUMBER($BJ$312),$B$185=1),$BJ$312,HLOOKUP(INDIRECT(ADDRESS(2,COLUMN())),OFFSET($BN$2,0,0,ROW()-1,60),ROW()-1,FALSE))</f>
        <v/>
      </c>
      <c r="BK115" t="str">
        <f ca="1">IF(AND(ISNUMBER($BK$312),$B$185=1),$BK$312,HLOOKUP(INDIRECT(ADDRESS(2,COLUMN())),OFFSET($BN$2,0,0,ROW()-1,60),ROW()-1,FALSE))</f>
        <v/>
      </c>
      <c r="BL115" t="str">
        <f ca="1">IF(AND(ISNUMBER($BL$312),$B$185=1),$BL$312,HLOOKUP(INDIRECT(ADDRESS(2,COLUMN())),OFFSET($BN$2,0,0,ROW()-1,60),ROW()-1,FALSE))</f>
        <v/>
      </c>
      <c r="BM115" t="str">
        <f ca="1">IF(AND(ISNUMBER($BM$312),$B$185=1),$BM$312,HLOOKUP(INDIRECT(ADDRESS(2,COLUMN())),OFFSET($BN$2,0,0,ROW()-1,60),ROW()-1,FALSE))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  <c r="BT115" t="str">
        <f>""</f>
        <v/>
      </c>
      <c r="BU115" t="str">
        <f>""</f>
        <v/>
      </c>
      <c r="BV115" t="str">
        <f>""</f>
        <v/>
      </c>
      <c r="BW115" t="str">
        <f>""</f>
        <v/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  <c r="CH115" t="str">
        <f>""</f>
        <v/>
      </c>
      <c r="CI115" t="str">
        <f>""</f>
        <v/>
      </c>
      <c r="CJ115" t="str">
        <f>""</f>
        <v/>
      </c>
      <c r="CK115" t="str">
        <f>""</f>
        <v/>
      </c>
      <c r="CL115" t="str">
        <f>""</f>
        <v/>
      </c>
      <c r="CM115" t="str">
        <f>""</f>
        <v/>
      </c>
      <c r="CN115" t="str">
        <f>""</f>
        <v/>
      </c>
      <c r="CO115" t="str">
        <f>""</f>
        <v/>
      </c>
      <c r="CP115" t="str">
        <f>""</f>
        <v/>
      </c>
      <c r="CQ115" t="str">
        <f>""</f>
        <v/>
      </c>
      <c r="CR115" t="str">
        <f>""</f>
        <v/>
      </c>
      <c r="CS115" t="str">
        <f>""</f>
        <v/>
      </c>
      <c r="CT115" t="str">
        <f>""</f>
        <v/>
      </c>
      <c r="CU115" t="str">
        <f>""</f>
        <v/>
      </c>
      <c r="CV115" t="str">
        <f>""</f>
        <v/>
      </c>
      <c r="CW115" t="str">
        <f>""</f>
        <v/>
      </c>
      <c r="CX115" t="str">
        <f>""</f>
        <v/>
      </c>
      <c r="CY115" t="str">
        <f>""</f>
        <v/>
      </c>
      <c r="CZ115" t="str">
        <f>""</f>
        <v/>
      </c>
      <c r="DA115" t="str">
        <f>""</f>
        <v/>
      </c>
      <c r="DB115" t="str">
        <f>""</f>
        <v/>
      </c>
      <c r="DC115" t="str">
        <f>""</f>
        <v/>
      </c>
      <c r="DD115" t="str">
        <f>""</f>
        <v/>
      </c>
      <c r="DE115" t="str">
        <f>""</f>
        <v/>
      </c>
      <c r="DF115" t="str">
        <f>""</f>
        <v/>
      </c>
      <c r="DG115" t="str">
        <f>""</f>
        <v/>
      </c>
      <c r="DH115" t="str">
        <f>""</f>
        <v/>
      </c>
      <c r="DI115" t="str">
        <f>""</f>
        <v/>
      </c>
      <c r="DJ115" t="str">
        <f>""</f>
        <v/>
      </c>
      <c r="DK115" t="str">
        <f>""</f>
        <v/>
      </c>
      <c r="DL115" t="str">
        <f>""</f>
        <v/>
      </c>
      <c r="DM115" t="str">
        <f>""</f>
        <v/>
      </c>
      <c r="DN115" t="str">
        <f>""</f>
        <v/>
      </c>
      <c r="DO115" t="str">
        <f>""</f>
        <v/>
      </c>
      <c r="DP115" t="str">
        <f>""</f>
        <v/>
      </c>
      <c r="DQ115" t="str">
        <f>""</f>
        <v/>
      </c>
      <c r="DR115" t="str">
        <f>""</f>
        <v/>
      </c>
      <c r="DS115" t="str">
        <f>""</f>
        <v/>
      </c>
      <c r="DT115" t="str">
        <f>""</f>
        <v/>
      </c>
      <c r="DU115" t="str">
        <f>""</f>
        <v/>
      </c>
    </row>
    <row r="116" spans="1:125">
      <c r="A116" t="str">
        <f>"    M&amp;T Bank Corp"</f>
        <v xml:space="preserve">    M&amp;T Bank Corp</v>
      </c>
      <c r="B116" t="str">
        <f>"MTB US Equity"</f>
        <v>MTB US Equity</v>
      </c>
      <c r="C116" t="str">
        <f t="shared" si="13"/>
        <v>BS960</v>
      </c>
      <c r="D116" t="str">
        <f t="shared" si="14"/>
        <v>BS_RESIDENT_MTG_SERVICED_OTHERS</v>
      </c>
      <c r="E116" t="str">
        <f t="shared" si="15"/>
        <v>Dynamic</v>
      </c>
      <c r="F116">
        <f ca="1">IF(AND(ISNUMBER($F$313),$B$185=1),$F$313,HLOOKUP(INDIRECT(ADDRESS(2,COLUMN())),OFFSET($BN$2,0,0,ROW()-1,60),ROW()-1,FALSE))</f>
        <v>149649</v>
      </c>
      <c r="G116">
        <f ca="1">IF(AND(ISNUMBER($G$313),$B$185=1),$G$313,HLOOKUP(INDIRECT(ADDRESS(2,COLUMN())),OFFSET($BN$2,0,0,ROW()-1,60),ROW()-1,FALSE))</f>
        <v>151304</v>
      </c>
      <c r="H116">
        <f ca="1">IF(AND(ISNUMBER($H$313),$B$185=1),$H$313,HLOOKUP(INDIRECT(ADDRESS(2,COLUMN())),OFFSET($BN$2,0,0,ROW()-1,60),ROW()-1,FALSE))</f>
        <v>151520</v>
      </c>
      <c r="I116">
        <f ca="1">IF(AND(ISNUMBER($I$313),$B$185=1),$I$313,HLOOKUP(INDIRECT(ADDRESS(2,COLUMN())),OFFSET($BN$2,0,0,ROW()-1,60),ROW()-1,FALSE))</f>
        <v>151562</v>
      </c>
      <c r="J116">
        <f ca="1">IF(AND(ISNUMBER($J$313),$B$185=1),$J$313,HLOOKUP(INDIRECT(ADDRESS(2,COLUMN())),OFFSET($BN$2,0,0,ROW()-1,60),ROW()-1,FALSE))</f>
        <v>155342</v>
      </c>
      <c r="K116">
        <f ca="1">IF(AND(ISNUMBER($K$313),$B$185=1),$K$313,HLOOKUP(INDIRECT(ADDRESS(2,COLUMN())),OFFSET($BN$2,0,0,ROW()-1,60),ROW()-1,FALSE))</f>
        <v>155103.10699999999</v>
      </c>
      <c r="L116">
        <f ca="1">IF(AND(ISNUMBER($L$313),$B$185=1),$L$313,HLOOKUP(INDIRECT(ADDRESS(2,COLUMN())),OFFSET($BN$2,0,0,ROW()-1,60),ROW()-1,FALSE))</f>
        <v>153700</v>
      </c>
      <c r="M116">
        <f ca="1">IF(AND(ISNUMBER($M$313),$B$185=1),$M$313,HLOOKUP(INDIRECT(ADDRESS(2,COLUMN())),OFFSET($BN$2,0,0,ROW()-1,60),ROW()-1,FALSE))</f>
        <v>139500</v>
      </c>
      <c r="N116">
        <f ca="1">IF(AND(ISNUMBER($N$313),$B$185=1),$N$313,HLOOKUP(INDIRECT(ADDRESS(2,COLUMN())),OFFSET($BN$2,0,0,ROW()-1,60),ROW()-1,FALSE))</f>
        <v>118400</v>
      </c>
      <c r="O116">
        <f ca="1">IF(AND(ISNUMBER($O$313),$B$185=1),$O$313,HLOOKUP(INDIRECT(ADDRESS(2,COLUMN())),OFFSET($BN$2,0,0,ROW()-1,60),ROW()-1,FALSE))</f>
        <v>104000</v>
      </c>
      <c r="P116">
        <f ca="1">IF(AND(ISNUMBER($P$313),$B$185=1),$P$313,HLOOKUP(INDIRECT(ADDRESS(2,COLUMN())),OFFSET($BN$2,0,0,ROW()-1,60),ROW()-1,FALSE))</f>
        <v>102500</v>
      </c>
      <c r="Q116">
        <f ca="1">IF(AND(ISNUMBER($Q$313),$B$185=1),$Q$313,HLOOKUP(INDIRECT(ADDRESS(2,COLUMN())),OFFSET($BN$2,0,0,ROW()-1,60),ROW()-1,FALSE))</f>
        <v>95000</v>
      </c>
      <c r="R116">
        <f ca="1">IF(AND(ISNUMBER($R$313),$B$185=1),$R$313,HLOOKUP(INDIRECT(ADDRESS(2,COLUMN())),OFFSET($BN$2,0,0,ROW()-1,60),ROW()-1,FALSE))</f>
        <v>97900</v>
      </c>
      <c r="S116">
        <f ca="1">IF(AND(ISNUMBER($S$313),$B$185=1),$S$313,HLOOKUP(INDIRECT(ADDRESS(2,COLUMN())),OFFSET($BN$2,0,0,ROW()-1,60),ROW()-1,FALSE))</f>
        <v>97100</v>
      </c>
      <c r="T116">
        <f ca="1">IF(AND(ISNUMBER($T$313),$B$185=1),$T$313,HLOOKUP(INDIRECT(ADDRESS(2,COLUMN())),OFFSET($BN$2,0,0,ROW()-1,60),ROW()-1,FALSE))</f>
        <v>97100</v>
      </c>
      <c r="U116">
        <f ca="1">IF(AND(ISNUMBER($U$313),$B$185=1),$U$313,HLOOKUP(INDIRECT(ADDRESS(2,COLUMN())),OFFSET($BN$2,0,0,ROW()-1,60),ROW()-1,FALSE))</f>
        <v>92500</v>
      </c>
      <c r="V116">
        <f ca="1">IF(AND(ISNUMBER($V$313),$B$185=1),$V$313,HLOOKUP(INDIRECT(ADDRESS(2,COLUMN())),OFFSET($BN$2,0,0,ROW()-1,60),ROW()-1,FALSE))</f>
        <v>94400</v>
      </c>
      <c r="W116">
        <f ca="1">IF(AND(ISNUMBER($W$313),$B$185=1),$W$313,HLOOKUP(INDIRECT(ADDRESS(2,COLUMN())),OFFSET($BN$2,0,0,ROW()-1,60),ROW()-1,FALSE))</f>
        <v>571</v>
      </c>
      <c r="X116">
        <f ca="1">IF(AND(ISNUMBER($X$313),$B$185=1),$X$313,HLOOKUP(INDIRECT(ADDRESS(2,COLUMN())),OFFSET($BN$2,0,0,ROW()-1,60),ROW()-1,FALSE))</f>
        <v>95100</v>
      </c>
      <c r="Y116">
        <f ca="1">IF(AND(ISNUMBER($Y$313),$B$185=1),$Y$313,HLOOKUP(INDIRECT(ADDRESS(2,COLUMN())),OFFSET($BN$2,0,0,ROW()-1,60),ROW()-1,FALSE))</f>
        <v>93500</v>
      </c>
      <c r="Z116">
        <f ca="1">IF(AND(ISNUMBER($Z$313),$B$185=1),$Z$313,HLOOKUP(INDIRECT(ADDRESS(2,COLUMN())),OFFSET($BN$2,0,0,ROW()-1,60),ROW()-1,FALSE))</f>
        <v>95100</v>
      </c>
      <c r="AA116">
        <f ca="1">IF(AND(ISNUMBER($AA$313),$B$185=1),$AA$313,HLOOKUP(INDIRECT(ADDRESS(2,COLUMN())),OFFSET($BN$2,0,0,ROW()-1,60),ROW()-1,FALSE))</f>
        <v>98300</v>
      </c>
      <c r="AB116">
        <f ca="1">IF(AND(ISNUMBER($AB$313),$B$185=1),$AB$313,HLOOKUP(INDIRECT(ADDRESS(2,COLUMN())),OFFSET($BN$2,0,0,ROW()-1,60),ROW()-1,FALSE))</f>
        <v>102900</v>
      </c>
      <c r="AC116">
        <f ca="1">IF(AND(ISNUMBER($AC$313),$B$185=1),$AC$313,HLOOKUP(INDIRECT(ADDRESS(2,COLUMN())),OFFSET($BN$2,0,0,ROW()-1,60),ROW()-1,FALSE))</f>
        <v>90100</v>
      </c>
      <c r="AD116">
        <f ca="1">IF(AND(ISNUMBER($AD$313),$B$185=1),$AD$313,HLOOKUP(INDIRECT(ADDRESS(2,COLUMN())),OFFSET($BN$2,0,0,ROW()-1,60),ROW()-1,FALSE))</f>
        <v>79100</v>
      </c>
      <c r="AE116">
        <f ca="1">IF(AND(ISNUMBER($AE$313),$B$185=1),$AE$313,HLOOKUP(INDIRECT(ADDRESS(2,COLUMN())),OFFSET($BN$2,0,0,ROW()-1,60),ROW()-1,FALSE))</f>
        <v>82700</v>
      </c>
      <c r="AF116">
        <f ca="1">IF(AND(ISNUMBER($AF$313),$B$185=1),$AF$313,HLOOKUP(INDIRECT(ADDRESS(2,COLUMN())),OFFSET($BN$2,0,0,ROW()-1,60),ROW()-1,FALSE))</f>
        <v>76000</v>
      </c>
      <c r="AG116">
        <f ca="1">IF(AND(ISNUMBER($AG$313),$B$185=1),$AG$313,HLOOKUP(INDIRECT(ADDRESS(2,COLUMN())),OFFSET($BN$2,0,0,ROW()-1,60),ROW()-1,FALSE))</f>
        <v>78300</v>
      </c>
      <c r="AH116">
        <f ca="1">IF(AND(ISNUMBER($AH$313),$B$185=1),$AH$313,HLOOKUP(INDIRECT(ADDRESS(2,COLUMN())),OFFSET($BN$2,0,0,ROW()-1,60),ROW()-1,FALSE))</f>
        <v>79200</v>
      </c>
      <c r="AI116">
        <f ca="1">IF(AND(ISNUMBER($AI$313),$B$185=1),$AI$313,HLOOKUP(INDIRECT(ADDRESS(2,COLUMN())),OFFSET($BN$2,0,0,ROW()-1,60),ROW()-1,FALSE))</f>
        <v>81900</v>
      </c>
      <c r="AJ116">
        <f ca="1">IF(AND(ISNUMBER($AJ$313),$B$185=1),$AJ$313,HLOOKUP(INDIRECT(ADDRESS(2,COLUMN())),OFFSET($BN$2,0,0,ROW()-1,60),ROW()-1,FALSE))</f>
        <v>72600</v>
      </c>
      <c r="AK116">
        <f ca="1">IF(AND(ISNUMBER($AK$313),$B$185=1),$AK$313,HLOOKUP(INDIRECT(ADDRESS(2,COLUMN())),OFFSET($BN$2,0,0,ROW()-1,60),ROW()-1,FALSE))</f>
        <v>63700</v>
      </c>
      <c r="AL116">
        <f ca="1">IF(AND(ISNUMBER($AL$313),$B$185=1),$AL$313,HLOOKUP(INDIRECT(ADDRESS(2,COLUMN())),OFFSET($BN$2,0,0,ROW()-1,60),ROW()-1,FALSE))</f>
        <v>53200</v>
      </c>
      <c r="AM116">
        <f ca="1">IF(AND(ISNUMBER($AM$313),$B$185=1),$AM$313,HLOOKUP(INDIRECT(ADDRESS(2,COLUMN())),OFFSET($BN$2,0,0,ROW()-1,60),ROW()-1,FALSE))</f>
        <v>55000</v>
      </c>
      <c r="AN116">
        <f ca="1">IF(AND(ISNUMBER($AN$313),$B$185=1),$AN$313,HLOOKUP(INDIRECT(ADDRESS(2,COLUMN())),OFFSET($BN$2,0,0,ROW()-1,60),ROW()-1,FALSE))</f>
        <v>57800</v>
      </c>
      <c r="AO116">
        <f ca="1">IF(AND(ISNUMBER($AO$313),$B$185=1),$AO$313,HLOOKUP(INDIRECT(ADDRESS(2,COLUMN())),OFFSET($BN$2,0,0,ROW()-1,60),ROW()-1,FALSE))</f>
        <v>60000</v>
      </c>
      <c r="AP116">
        <f ca="1">IF(AND(ISNUMBER($AP$313),$B$185=1),$AP$313,HLOOKUP(INDIRECT(ADDRESS(2,COLUMN())),OFFSET($BN$2,0,0,ROW()-1,60),ROW()-1,FALSE))</f>
        <v>61700</v>
      </c>
      <c r="AQ116">
        <f ca="1">IF(AND(ISNUMBER($AQ$313),$B$185=1),$AQ$313,HLOOKUP(INDIRECT(ADDRESS(2,COLUMN())),OFFSET($BN$2,0,0,ROW()-1,60),ROW()-1,FALSE))</f>
        <v>64300</v>
      </c>
      <c r="AR116">
        <f ca="1">IF(AND(ISNUMBER($AR$313),$B$185=1),$AR$313,HLOOKUP(INDIRECT(ADDRESS(2,COLUMN())),OFFSET($BN$2,0,0,ROW()-1,60),ROW()-1,FALSE))</f>
        <v>66500</v>
      </c>
      <c r="AS116">
        <f ca="1">IF(AND(ISNUMBER($AS$313),$B$185=1),$AS$313,HLOOKUP(INDIRECT(ADDRESS(2,COLUMN())),OFFSET($BN$2,0,0,ROW()-1,60),ROW()-1,FALSE))</f>
        <v>65000</v>
      </c>
      <c r="AT116">
        <f ca="1">IF(AND(ISNUMBER($AT$313),$B$185=1),$AT$313,HLOOKUP(INDIRECT(ADDRESS(2,COLUMN())),OFFSET($BN$2,0,0,ROW()-1,60),ROW()-1,FALSE))</f>
        <v>64400</v>
      </c>
      <c r="AU116">
        <f ca="1">IF(AND(ISNUMBER($AU$313),$B$185=1),$AU$313,HLOOKUP(INDIRECT(ADDRESS(2,COLUMN())),OFFSET($BN$2,0,0,ROW()-1,60),ROW()-1,FALSE))</f>
        <v>5000</v>
      </c>
      <c r="AV116">
        <f ca="1">IF(AND(ISNUMBER($AV$313),$B$185=1),$AV$313,HLOOKUP(INDIRECT(ADDRESS(2,COLUMN())),OFFSET($BN$2,0,0,ROW()-1,60),ROW()-1,FALSE))</f>
        <v>68000</v>
      </c>
      <c r="AW116">
        <f ca="1">IF(AND(ISNUMBER($AW$313),$B$185=1),$AW$313,HLOOKUP(INDIRECT(ADDRESS(2,COLUMN())),OFFSET($BN$2,0,0,ROW()-1,60),ROW()-1,FALSE))</f>
        <v>69900</v>
      </c>
      <c r="AX116">
        <f ca="1">IF(AND(ISNUMBER($AX$313),$B$185=1),$AX$313,HLOOKUP(INDIRECT(ADDRESS(2,COLUMN())),OFFSET($BN$2,0,0,ROW()-1,60),ROW()-1,FALSE))</f>
        <v>69100</v>
      </c>
      <c r="AY116">
        <f ca="1">IF(AND(ISNUMBER($AY$313),$B$185=1),$AY$313,HLOOKUP(INDIRECT(ADDRESS(2,COLUMN())),OFFSET($BN$2,0,0,ROW()-1,60),ROW()-1,FALSE))</f>
        <v>68800</v>
      </c>
      <c r="AZ116">
        <f ca="1">IF(AND(ISNUMBER($AZ$313),$B$185=1),$AZ$313,HLOOKUP(INDIRECT(ADDRESS(2,COLUMN())),OFFSET($BN$2,0,0,ROW()-1,60),ROW()-1,FALSE))</f>
        <v>32300</v>
      </c>
      <c r="BA116">
        <f ca="1">IF(AND(ISNUMBER($BA$313),$B$185=1),$BA$313,HLOOKUP(INDIRECT(ADDRESS(2,COLUMN())),OFFSET($BN$2,0,0,ROW()-1,60),ROW()-1,FALSE))</f>
        <v>32100</v>
      </c>
      <c r="BB116">
        <f ca="1">IF(AND(ISNUMBER($BB$313),$B$185=1),$BB$313,HLOOKUP(INDIRECT(ADDRESS(2,COLUMN())),OFFSET($BN$2,0,0,ROW()-1,60),ROW()-1,FALSE))</f>
        <v>32100</v>
      </c>
      <c r="BC116">
        <f ca="1">IF(AND(ISNUMBER($BC$313),$B$185=1),$BC$313,HLOOKUP(INDIRECT(ADDRESS(2,COLUMN())),OFFSET($BN$2,0,0,ROW()-1,60),ROW()-1,FALSE))</f>
        <v>32400</v>
      </c>
      <c r="BD116">
        <f ca="1">IF(AND(ISNUMBER($BD$313),$B$185=1),$BD$313,HLOOKUP(INDIRECT(ADDRESS(2,COLUMN())),OFFSET($BN$2,0,0,ROW()-1,60),ROW()-1,FALSE))</f>
        <v>33700</v>
      </c>
      <c r="BE116">
        <f ca="1">IF(AND(ISNUMBER($BE$313),$B$185=1),$BE$313,HLOOKUP(INDIRECT(ADDRESS(2,COLUMN())),OFFSET($BN$2,0,0,ROW()-1,60),ROW()-1,FALSE))</f>
        <v>35100</v>
      </c>
      <c r="BF116">
        <f ca="1">IF(AND(ISNUMBER($BF$313),$B$185=1),$BF$313,HLOOKUP(INDIRECT(ADDRESS(2,COLUMN())),OFFSET($BN$2,0,0,ROW()-1,60),ROW()-1,FALSE))</f>
        <v>36300</v>
      </c>
      <c r="BG116">
        <f ca="1">IF(AND(ISNUMBER($BG$313),$B$185=1),$BG$313,HLOOKUP(INDIRECT(ADDRESS(2,COLUMN())),OFFSET($BN$2,0,0,ROW()-1,60),ROW()-1,FALSE))</f>
        <v>23400</v>
      </c>
      <c r="BH116">
        <f ca="1">IF(AND(ISNUMBER($BH$313),$B$185=1),$BH$313,HLOOKUP(INDIRECT(ADDRESS(2,COLUMN())),OFFSET($BN$2,0,0,ROW()-1,60),ROW()-1,FALSE))</f>
        <v>16800</v>
      </c>
      <c r="BI116">
        <f ca="1">IF(AND(ISNUMBER($BI$313),$B$185=1),$BI$313,HLOOKUP(INDIRECT(ADDRESS(2,COLUMN())),OFFSET($BN$2,0,0,ROW()-1,60),ROW()-1,FALSE))</f>
        <v>16300</v>
      </c>
      <c r="BJ116">
        <f ca="1">IF(AND(ISNUMBER($BJ$313),$B$185=1),$BJ$313,HLOOKUP(INDIRECT(ADDRESS(2,COLUMN())),OFFSET($BN$2,0,0,ROW()-1,60),ROW()-1,FALSE))</f>
        <v>15900</v>
      </c>
      <c r="BK116">
        <f ca="1">IF(AND(ISNUMBER($BK$313),$B$185=1),$BK$313,HLOOKUP(INDIRECT(ADDRESS(2,COLUMN())),OFFSET($BN$2,0,0,ROW()-1,60),ROW()-1,FALSE))</f>
        <v>15900</v>
      </c>
      <c r="BL116">
        <f ca="1">IF(AND(ISNUMBER($BL$313),$B$185=1),$BL$313,HLOOKUP(INDIRECT(ADDRESS(2,COLUMN())),OFFSET($BN$2,0,0,ROW()-1,60),ROW()-1,FALSE))</f>
        <v>15800</v>
      </c>
      <c r="BM116" t="str">
        <f ca="1">IF(AND(ISNUMBER($BM$313),$B$185=1),$BM$313,HLOOKUP(INDIRECT(ADDRESS(2,COLUMN())),OFFSET($BN$2,0,0,ROW()-1,60),ROW()-1,FALSE))</f>
        <v/>
      </c>
      <c r="BN116">
        <f>149649</f>
        <v>149649</v>
      </c>
      <c r="BO116">
        <f>151304</f>
        <v>151304</v>
      </c>
      <c r="BP116">
        <f>151520</f>
        <v>151520</v>
      </c>
      <c r="BQ116">
        <f>151562</f>
        <v>151562</v>
      </c>
      <c r="BR116">
        <f>155342</f>
        <v>155342</v>
      </c>
      <c r="BS116">
        <f>155103.107</f>
        <v>155103.10699999999</v>
      </c>
      <c r="BT116">
        <f>153700</f>
        <v>153700</v>
      </c>
      <c r="BU116">
        <f>139500</f>
        <v>139500</v>
      </c>
      <c r="BV116">
        <f>118400</f>
        <v>118400</v>
      </c>
      <c r="BW116">
        <f>104000</f>
        <v>104000</v>
      </c>
      <c r="BX116">
        <f>102500</f>
        <v>102500</v>
      </c>
      <c r="BY116">
        <f>95000</f>
        <v>95000</v>
      </c>
      <c r="BZ116">
        <f>97900</f>
        <v>97900</v>
      </c>
      <c r="CA116">
        <f>97100</f>
        <v>97100</v>
      </c>
      <c r="CB116">
        <f>97100</f>
        <v>97100</v>
      </c>
      <c r="CC116">
        <f>92500</f>
        <v>92500</v>
      </c>
      <c r="CD116">
        <f>94400</f>
        <v>94400</v>
      </c>
      <c r="CE116">
        <f>571</f>
        <v>571</v>
      </c>
      <c r="CF116">
        <f>95100</f>
        <v>95100</v>
      </c>
      <c r="CG116">
        <f>93500</f>
        <v>93500</v>
      </c>
      <c r="CH116">
        <f>95100</f>
        <v>95100</v>
      </c>
      <c r="CI116">
        <f>98300</f>
        <v>98300</v>
      </c>
      <c r="CJ116">
        <f>102900</f>
        <v>102900</v>
      </c>
      <c r="CK116">
        <f>90100</f>
        <v>90100</v>
      </c>
      <c r="CL116">
        <f>79100</f>
        <v>79100</v>
      </c>
      <c r="CM116">
        <f>82700</f>
        <v>82700</v>
      </c>
      <c r="CN116">
        <f>76000</f>
        <v>76000</v>
      </c>
      <c r="CO116">
        <f>78300</f>
        <v>78300</v>
      </c>
      <c r="CP116">
        <f>79200</f>
        <v>79200</v>
      </c>
      <c r="CQ116">
        <f>81900</f>
        <v>81900</v>
      </c>
      <c r="CR116">
        <f>72600</f>
        <v>72600</v>
      </c>
      <c r="CS116">
        <f>63700</f>
        <v>63700</v>
      </c>
      <c r="CT116">
        <f>53200</f>
        <v>53200</v>
      </c>
      <c r="CU116">
        <f>55000</f>
        <v>55000</v>
      </c>
      <c r="CV116">
        <f>57800</f>
        <v>57800</v>
      </c>
      <c r="CW116">
        <f>60000</f>
        <v>60000</v>
      </c>
      <c r="CX116">
        <f>61700</f>
        <v>61700</v>
      </c>
      <c r="CY116">
        <f>64300</f>
        <v>64300</v>
      </c>
      <c r="CZ116">
        <f>66500</f>
        <v>66500</v>
      </c>
      <c r="DA116">
        <f>65000</f>
        <v>65000</v>
      </c>
      <c r="DB116">
        <f>64400</f>
        <v>64400</v>
      </c>
      <c r="DC116">
        <f>5000</f>
        <v>5000</v>
      </c>
      <c r="DD116">
        <f>68000</f>
        <v>68000</v>
      </c>
      <c r="DE116">
        <f>69900</f>
        <v>69900</v>
      </c>
      <c r="DF116">
        <f>69100</f>
        <v>69100</v>
      </c>
      <c r="DG116">
        <f>68800</f>
        <v>68800</v>
      </c>
      <c r="DH116">
        <f>32300</f>
        <v>32300</v>
      </c>
      <c r="DI116">
        <f>32100</f>
        <v>32100</v>
      </c>
      <c r="DJ116">
        <f>32100</f>
        <v>32100</v>
      </c>
      <c r="DK116">
        <f>32400</f>
        <v>32400</v>
      </c>
      <c r="DL116">
        <f>33700</f>
        <v>33700</v>
      </c>
      <c r="DM116">
        <f>35100</f>
        <v>35100</v>
      </c>
      <c r="DN116">
        <f>36300</f>
        <v>36300</v>
      </c>
      <c r="DO116">
        <f>23400</f>
        <v>23400</v>
      </c>
      <c r="DP116">
        <f>16800</f>
        <v>16800</v>
      </c>
      <c r="DQ116">
        <f>16300</f>
        <v>16300</v>
      </c>
      <c r="DR116">
        <f>15900</f>
        <v>15900</v>
      </c>
      <c r="DS116">
        <f>15900</f>
        <v>15900</v>
      </c>
      <c r="DT116">
        <f>15800</f>
        <v>15800</v>
      </c>
      <c r="DU116" t="str">
        <f>""</f>
        <v/>
      </c>
    </row>
    <row r="117" spans="1:125">
      <c r="A117" t="str">
        <f>"    PNC Financial Services Group I"</f>
        <v xml:space="preserve">    PNC Financial Services Group I</v>
      </c>
      <c r="B117" t="str">
        <f>"PNC US Equity"</f>
        <v>PNC US Equity</v>
      </c>
      <c r="C117" t="str">
        <f t="shared" si="13"/>
        <v>BS960</v>
      </c>
      <c r="D117" t="str">
        <f t="shared" si="14"/>
        <v>BS_RESIDENT_MTG_SERVICED_OTHERS</v>
      </c>
      <c r="E117" t="str">
        <f t="shared" si="15"/>
        <v>Dynamic</v>
      </c>
      <c r="F117" t="str">
        <f ca="1">IF(AND(ISNUMBER($F$314),$B$185=1),$F$314,HLOOKUP(INDIRECT(ADDRESS(2,COLUMN())),OFFSET($BN$2,0,0,ROW()-1,60),ROW()-1,FALSE))</f>
        <v/>
      </c>
      <c r="G117">
        <f ca="1">IF(AND(ISNUMBER($G$314),$B$185=1),$G$314,HLOOKUP(INDIRECT(ADDRESS(2,COLUMN())),OFFSET($BN$2,0,0,ROW()-1,60),ROW()-1,FALSE))</f>
        <v>200000</v>
      </c>
      <c r="H117">
        <f ca="1">IF(AND(ISNUMBER($H$314),$B$185=1),$H$314,HLOOKUP(INDIRECT(ADDRESS(2,COLUMN())),OFFSET($BN$2,0,0,ROW()-1,60),ROW()-1,FALSE))</f>
        <v>204000</v>
      </c>
      <c r="I117">
        <f ca="1">IF(AND(ISNUMBER($I$314),$B$185=1),$I$314,HLOOKUP(INDIRECT(ADDRESS(2,COLUMN())),OFFSET($BN$2,0,0,ROW()-1,60),ROW()-1,FALSE))</f>
        <v>207000</v>
      </c>
      <c r="J117">
        <f ca="1">IF(AND(ISNUMBER($J$314),$B$185=1),$J$314,HLOOKUP(INDIRECT(ADDRESS(2,COLUMN())),OFFSET($BN$2,0,0,ROW()-1,60),ROW()-1,FALSE))</f>
        <v>209000</v>
      </c>
      <c r="K117">
        <f ca="1">IF(AND(ISNUMBER($K$314),$B$185=1),$K$314,HLOOKUP(INDIRECT(ADDRESS(2,COLUMN())),OFFSET($BN$2,0,0,ROW()-1,60),ROW()-1,FALSE))</f>
        <v>213000</v>
      </c>
      <c r="L117">
        <f ca="1">IF(AND(ISNUMBER($L$314),$B$185=1),$L$314,HLOOKUP(INDIRECT(ADDRESS(2,COLUMN())),OFFSET($BN$2,0,0,ROW()-1,60),ROW()-1,FALSE))</f>
        <v>191000</v>
      </c>
      <c r="M117">
        <f ca="1">IF(AND(ISNUMBER($M$314),$B$185=1),$M$314,HLOOKUP(INDIRECT(ADDRESS(2,COLUMN())),OFFSET($BN$2,0,0,ROW()-1,60),ROW()-1,FALSE))</f>
        <v>188000</v>
      </c>
      <c r="N117">
        <f ca="1">IF(AND(ISNUMBER($N$314),$B$185=1),$N$314,HLOOKUP(INDIRECT(ADDRESS(2,COLUMN())),OFFSET($BN$2,0,0,ROW()-1,60),ROW()-1,FALSE))</f>
        <v>190000</v>
      </c>
      <c r="O117">
        <f ca="1">IF(AND(ISNUMBER($O$314),$B$185=1),$O$314,HLOOKUP(INDIRECT(ADDRESS(2,COLUMN())),OFFSET($BN$2,0,0,ROW()-1,60),ROW()-1,FALSE))</f>
        <v>170000</v>
      </c>
      <c r="P117">
        <f ca="1">IF(AND(ISNUMBER($P$314),$B$185=1),$P$314,HLOOKUP(INDIRECT(ADDRESS(2,COLUMN())),OFFSET($BN$2,0,0,ROW()-1,60),ROW()-1,FALSE))</f>
        <v>145000</v>
      </c>
      <c r="Q117">
        <f ca="1">IF(AND(ISNUMBER($Q$314),$B$185=1),$Q$314,HLOOKUP(INDIRECT(ADDRESS(2,COLUMN())),OFFSET($BN$2,0,0,ROW()-1,60),ROW()-1,FALSE))</f>
        <v>135000</v>
      </c>
      <c r="R117">
        <f ca="1">IF(AND(ISNUMBER($R$314),$B$185=1),$R$314,HLOOKUP(INDIRECT(ADDRESS(2,COLUMN())),OFFSET($BN$2,0,0,ROW()-1,60),ROW()-1,FALSE))</f>
        <v>133000</v>
      </c>
      <c r="S117">
        <f ca="1">IF(AND(ISNUMBER($S$314),$B$185=1),$S$314,HLOOKUP(INDIRECT(ADDRESS(2,COLUMN())),OFFSET($BN$2,0,0,ROW()-1,60),ROW()-1,FALSE))</f>
        <v>139000</v>
      </c>
      <c r="T117">
        <f ca="1">IF(AND(ISNUMBER($T$314),$B$185=1),$T$314,HLOOKUP(INDIRECT(ADDRESS(2,COLUMN())),OFFSET($BN$2,0,0,ROW()-1,60),ROW()-1,FALSE))</f>
        <v>145000</v>
      </c>
      <c r="U117">
        <f ca="1">IF(AND(ISNUMBER($U$314),$B$185=1),$U$314,HLOOKUP(INDIRECT(ADDRESS(2,COLUMN())),OFFSET($BN$2,0,0,ROW()-1,60),ROW()-1,FALSE))</f>
        <v>117000</v>
      </c>
      <c r="V117">
        <f ca="1">IF(AND(ISNUMBER($V$314),$B$185=1),$V$314,HLOOKUP(INDIRECT(ADDRESS(2,COLUMN())),OFFSET($BN$2,0,0,ROW()-1,60),ROW()-1,FALSE))</f>
        <v>121000</v>
      </c>
      <c r="W117">
        <f ca="1">IF(AND(ISNUMBER($W$314),$B$185=1),$W$314,HLOOKUP(INDIRECT(ADDRESS(2,COLUMN())),OFFSET($BN$2,0,0,ROW()-1,60),ROW()-1,FALSE))</f>
        <v>119000</v>
      </c>
      <c r="X117">
        <f ca="1">IF(AND(ISNUMBER($X$314),$B$185=1),$X$314,HLOOKUP(INDIRECT(ADDRESS(2,COLUMN())),OFFSET($BN$2,0,0,ROW()-1,60),ROW()-1,FALSE))</f>
        <v>122000</v>
      </c>
      <c r="Y117">
        <f ca="1">IF(AND(ISNUMBER($Y$314),$B$185=1),$Y$314,HLOOKUP(INDIRECT(ADDRESS(2,COLUMN())),OFFSET($BN$2,0,0,ROW()-1,60),ROW()-1,FALSE))</f>
        <v>118000</v>
      </c>
      <c r="Z117">
        <f ca="1">IF(AND(ISNUMBER($Z$314),$B$185=1),$Z$314,HLOOKUP(INDIRECT(ADDRESS(2,COLUMN())),OFFSET($BN$2,0,0,ROW()-1,60),ROW()-1,FALSE))</f>
        <v>120000</v>
      </c>
      <c r="AA117">
        <f ca="1">IF(AND(ISNUMBER($AA$314),$B$185=1),$AA$314,HLOOKUP(INDIRECT(ADDRESS(2,COLUMN())),OFFSET($BN$2,0,0,ROW()-1,60),ROW()-1,FALSE))</f>
        <v>123000</v>
      </c>
      <c r="AB117">
        <f ca="1">IF(AND(ISNUMBER($AB$314),$B$185=1),$AB$314,HLOOKUP(INDIRECT(ADDRESS(2,COLUMN())),OFFSET($BN$2,0,0,ROW()-1,60),ROW()-1,FALSE))</f>
        <v>124000</v>
      </c>
      <c r="AC117">
        <f ca="1">IF(AND(ISNUMBER($AC$314),$B$185=1),$AC$314,HLOOKUP(INDIRECT(ADDRESS(2,COLUMN())),OFFSET($BN$2,0,0,ROW()-1,60),ROW()-1,FALSE))</f>
        <v>123000</v>
      </c>
      <c r="AD117">
        <f ca="1">IF(AND(ISNUMBER($AD$314),$B$185=1),$AD$314,HLOOKUP(INDIRECT(ADDRESS(2,COLUMN())),OFFSET($BN$2,0,0,ROW()-1,60),ROW()-1,FALSE))</f>
        <v>125000</v>
      </c>
      <c r="AE117">
        <f ca="1">IF(AND(ISNUMBER($AE$314),$B$185=1),$AE$314,HLOOKUP(INDIRECT(ADDRESS(2,COLUMN())),OFFSET($BN$2,0,0,ROW()-1,60),ROW()-1,FALSE))</f>
        <v>127000</v>
      </c>
      <c r="AF117">
        <f ca="1">IF(AND(ISNUMBER($AF$314),$B$185=1),$AF$314,HLOOKUP(INDIRECT(ADDRESS(2,COLUMN())),OFFSET($BN$2,0,0,ROW()-1,60),ROW()-1,FALSE))</f>
        <v>124000</v>
      </c>
      <c r="AG117">
        <f ca="1">IF(AND(ISNUMBER($AG$314),$B$185=1),$AG$314,HLOOKUP(INDIRECT(ADDRESS(2,COLUMN())),OFFSET($BN$2,0,0,ROW()-1,60),ROW()-1,FALSE))</f>
        <v>125000</v>
      </c>
      <c r="AH117">
        <f ca="1">IF(AND(ISNUMBER($AH$314),$B$185=1),$AH$314,HLOOKUP(INDIRECT(ADDRESS(2,COLUMN())),OFFSET($BN$2,0,0,ROW()-1,60),ROW()-1,FALSE))</f>
        <v>127000</v>
      </c>
      <c r="AI117">
        <f ca="1">IF(AND(ISNUMBER($AI$314),$B$185=1),$AI$314,HLOOKUP(INDIRECT(ADDRESS(2,COLUMN())),OFFSET($BN$2,0,0,ROW()-1,60),ROW()-1,FALSE))</f>
        <v>129000</v>
      </c>
      <c r="AJ117">
        <f ca="1">IF(AND(ISNUMBER($AJ$314),$B$185=1),$AJ$314,HLOOKUP(INDIRECT(ADDRESS(2,COLUMN())),OFFSET($BN$2,0,0,ROW()-1,60),ROW()-1,FALSE))</f>
        <v>131000</v>
      </c>
      <c r="AK117">
        <f ca="1">IF(AND(ISNUMBER($AK$314),$B$185=1),$AK$314,HLOOKUP(INDIRECT(ADDRESS(2,COLUMN())),OFFSET($BN$2,0,0,ROW()-1,60),ROW()-1,FALSE))</f>
        <v>130000</v>
      </c>
      <c r="AL117" t="str">
        <f ca="1">IF(AND(ISNUMBER($AL$314),$B$185=1),$AL$314,HLOOKUP(INDIRECT(ADDRESS(2,COLUMN())),OFFSET($BN$2,0,0,ROW()-1,60),ROW()-1,FALSE))</f>
        <v/>
      </c>
      <c r="AM117">
        <f ca="1">IF(AND(ISNUMBER($AM$314),$B$185=1),$AM$314,HLOOKUP(INDIRECT(ADDRESS(2,COLUMN())),OFFSET($BN$2,0,0,ROW()-1,60),ROW()-1,FALSE))</f>
        <v>126000</v>
      </c>
      <c r="AN117">
        <f ca="1">IF(AND(ISNUMBER($AN$314),$B$185=1),$AN$314,HLOOKUP(INDIRECT(ADDRESS(2,COLUMN())),OFFSET($BN$2,0,0,ROW()-1,60),ROW()-1,FALSE))</f>
        <v>126000</v>
      </c>
      <c r="AO117">
        <f ca="1">IF(AND(ISNUMBER($AO$314),$B$185=1),$AO$314,HLOOKUP(INDIRECT(ADDRESS(2,COLUMN())),OFFSET($BN$2,0,0,ROW()-1,60),ROW()-1,FALSE))</f>
        <v>125000</v>
      </c>
      <c r="AP117">
        <f ca="1">IF(AND(ISNUMBER($AP$314),$B$185=1),$AP$314,HLOOKUP(INDIRECT(ADDRESS(2,COLUMN())),OFFSET($BN$2,0,0,ROW()-1,60),ROW()-1,FALSE))</f>
        <v>123000</v>
      </c>
      <c r="AQ117">
        <f ca="1">IF(AND(ISNUMBER($AQ$314),$B$185=1),$AQ$314,HLOOKUP(INDIRECT(ADDRESS(2,COLUMN())),OFFSET($BN$2,0,0,ROW()-1,60),ROW()-1,FALSE))</f>
        <v>122000</v>
      </c>
      <c r="AR117">
        <f ca="1">IF(AND(ISNUMBER($AR$314),$B$185=1),$AR$314,HLOOKUP(INDIRECT(ADDRESS(2,COLUMN())),OFFSET($BN$2,0,0,ROW()-1,60),ROW()-1,FALSE))</f>
        <v>115000</v>
      </c>
      <c r="AS117">
        <f ca="1">IF(AND(ISNUMBER($AS$314),$B$185=1),$AS$314,HLOOKUP(INDIRECT(ADDRESS(2,COLUMN())),OFFSET($BN$2,0,0,ROW()-1,60),ROW()-1,FALSE))</f>
        <v>113000</v>
      </c>
      <c r="AT117">
        <f ca="1">IF(AND(ISNUMBER($AT$314),$B$185=1),$AT$314,HLOOKUP(INDIRECT(ADDRESS(2,COLUMN())),OFFSET($BN$2,0,0,ROW()-1,60),ROW()-1,FALSE))</f>
        <v>108000</v>
      </c>
      <c r="AU117">
        <f ca="1">IF(AND(ISNUMBER($AU$314),$B$185=1),$AU$314,HLOOKUP(INDIRECT(ADDRESS(2,COLUMN())),OFFSET($BN$2,0,0,ROW()-1,60),ROW()-1,FALSE))</f>
        <v>111000</v>
      </c>
      <c r="AV117">
        <f ca="1">IF(AND(ISNUMBER($AV$314),$B$185=1),$AV$314,HLOOKUP(INDIRECT(ADDRESS(2,COLUMN())),OFFSET($BN$2,0,0,ROW()-1,60),ROW()-1,FALSE))</f>
        <v>111000</v>
      </c>
      <c r="AW117">
        <f ca="1">IF(AND(ISNUMBER($AW$314),$B$185=1),$AW$314,HLOOKUP(INDIRECT(ADDRESS(2,COLUMN())),OFFSET($BN$2,0,0,ROW()-1,60),ROW()-1,FALSE))</f>
        <v>114000</v>
      </c>
      <c r="AX117">
        <f ca="1">IF(AND(ISNUMBER($AX$314),$B$185=1),$AX$314,HLOOKUP(INDIRECT(ADDRESS(2,COLUMN())),OFFSET($BN$2,0,0,ROW()-1,60),ROW()-1,FALSE))</f>
        <v>114000</v>
      </c>
      <c r="AY117">
        <f ca="1">IF(AND(ISNUMBER($AY$314),$B$185=1),$AY$314,HLOOKUP(INDIRECT(ADDRESS(2,COLUMN())),OFFSET($BN$2,0,0,ROW()-1,60),ROW()-1,FALSE))</f>
        <v>115000</v>
      </c>
      <c r="AZ117">
        <f ca="1">IF(AND(ISNUMBER($AZ$314),$B$185=1),$AZ$314,HLOOKUP(INDIRECT(ADDRESS(2,COLUMN())),OFFSET($BN$2,0,0,ROW()-1,60),ROW()-1,FALSE))</f>
        <v>116000</v>
      </c>
      <c r="BA117">
        <f ca="1">IF(AND(ISNUMBER($BA$314),$B$185=1),$BA$314,HLOOKUP(INDIRECT(ADDRESS(2,COLUMN())),OFFSET($BN$2,0,0,ROW()-1,60),ROW()-1,FALSE))</f>
        <v>120000</v>
      </c>
      <c r="BB117">
        <f ca="1">IF(AND(ISNUMBER($BB$314),$B$185=1),$BB$314,HLOOKUP(INDIRECT(ADDRESS(2,COLUMN())),OFFSET($BN$2,0,0,ROW()-1,60),ROW()-1,FALSE))</f>
        <v>119000</v>
      </c>
      <c r="BC117">
        <f ca="1">IF(AND(ISNUMBER($BC$314),$B$185=1),$BC$314,HLOOKUP(INDIRECT(ADDRESS(2,COLUMN())),OFFSET($BN$2,0,0,ROW()-1,60),ROW()-1,FALSE))</f>
        <v>119246</v>
      </c>
      <c r="BD117">
        <f ca="1">IF(AND(ISNUMBER($BD$314),$B$185=1),$BD$314,HLOOKUP(INDIRECT(ADDRESS(2,COLUMN())),OFFSET($BN$2,0,0,ROW()-1,60),ROW()-1,FALSE))</f>
        <v>116000</v>
      </c>
      <c r="BE117">
        <f ca="1">IF(AND(ISNUMBER($BE$314),$B$185=1),$BE$314,HLOOKUP(INDIRECT(ADDRESS(2,COLUMN())),OFFSET($BN$2,0,0,ROW()-1,60),ROW()-1,FALSE))</f>
        <v>121000</v>
      </c>
      <c r="BF117">
        <f ca="1">IF(AND(ISNUMBER($BF$314),$B$185=1),$BF$314,HLOOKUP(INDIRECT(ADDRESS(2,COLUMN())),OFFSET($BN$2,0,0,ROW()-1,60),ROW()-1,FALSE))</f>
        <v>118000</v>
      </c>
      <c r="BG117">
        <f ca="1">IF(AND(ISNUMBER($BG$314),$B$185=1),$BG$314,HLOOKUP(INDIRECT(ADDRESS(2,COLUMN())),OFFSET($BN$2,0,0,ROW()-1,60),ROW()-1,FALSE))</f>
        <v>121000</v>
      </c>
      <c r="BH117">
        <f ca="1">IF(AND(ISNUMBER($BH$314),$B$185=1),$BH$314,HLOOKUP(INDIRECT(ADDRESS(2,COLUMN())),OFFSET($BN$2,0,0,ROW()-1,60),ROW()-1,FALSE))</f>
        <v>125000</v>
      </c>
      <c r="BI117">
        <f ca="1">IF(AND(ISNUMBER($BI$314),$B$185=1),$BI$314,HLOOKUP(INDIRECT(ADDRESS(2,COLUMN())),OFFSET($BN$2,0,0,ROW()-1,60),ROW()-1,FALSE))</f>
        <v>127000</v>
      </c>
      <c r="BJ117">
        <f ca="1">IF(AND(ISNUMBER($BJ$314),$B$185=1),$BJ$314,HLOOKUP(INDIRECT(ADDRESS(2,COLUMN())),OFFSET($BN$2,0,0,ROW()-1,60),ROW()-1,FALSE))</f>
        <v>125000</v>
      </c>
      <c r="BK117">
        <f ca="1">IF(AND(ISNUMBER($BK$314),$B$185=1),$BK$314,HLOOKUP(INDIRECT(ADDRESS(2,COLUMN())),OFFSET($BN$2,0,0,ROW()-1,60),ROW()-1,FALSE))</f>
        <v>131000</v>
      </c>
      <c r="BL117">
        <f ca="1">IF(AND(ISNUMBER($BL$314),$B$185=1),$BL$314,HLOOKUP(INDIRECT(ADDRESS(2,COLUMN())),OFFSET($BN$2,0,0,ROW()-1,60),ROW()-1,FALSE))</f>
        <v>137000</v>
      </c>
      <c r="BM117">
        <f ca="1">IF(AND(ISNUMBER($BM$314),$B$185=1),$BM$314,HLOOKUP(INDIRECT(ADDRESS(2,COLUMN())),OFFSET($BN$2,0,0,ROW()-1,60),ROW()-1,FALSE))</f>
        <v>141000</v>
      </c>
      <c r="BN117" t="str">
        <f>""</f>
        <v/>
      </c>
      <c r="BO117">
        <f>200000</f>
        <v>200000</v>
      </c>
      <c r="BP117">
        <f>204000</f>
        <v>204000</v>
      </c>
      <c r="BQ117">
        <f>207000</f>
        <v>207000</v>
      </c>
      <c r="BR117">
        <f>209000</f>
        <v>209000</v>
      </c>
      <c r="BS117">
        <f>213000</f>
        <v>213000</v>
      </c>
      <c r="BT117">
        <f>191000</f>
        <v>191000</v>
      </c>
      <c r="BU117">
        <f>188000</f>
        <v>188000</v>
      </c>
      <c r="BV117">
        <f>190000</f>
        <v>190000</v>
      </c>
      <c r="BW117">
        <f>170000</f>
        <v>170000</v>
      </c>
      <c r="BX117">
        <f>145000</f>
        <v>145000</v>
      </c>
      <c r="BY117">
        <f>135000</f>
        <v>135000</v>
      </c>
      <c r="BZ117">
        <f>133000</f>
        <v>133000</v>
      </c>
      <c r="CA117">
        <f>139000</f>
        <v>139000</v>
      </c>
      <c r="CB117">
        <f>145000</f>
        <v>145000</v>
      </c>
      <c r="CC117">
        <f>117000</f>
        <v>117000</v>
      </c>
      <c r="CD117">
        <f>121000</f>
        <v>121000</v>
      </c>
      <c r="CE117">
        <f>119000</f>
        <v>119000</v>
      </c>
      <c r="CF117">
        <f>122000</f>
        <v>122000</v>
      </c>
      <c r="CG117">
        <f>118000</f>
        <v>118000</v>
      </c>
      <c r="CH117">
        <f>120000</f>
        <v>120000</v>
      </c>
      <c r="CI117">
        <f>123000</f>
        <v>123000</v>
      </c>
      <c r="CJ117">
        <f>124000</f>
        <v>124000</v>
      </c>
      <c r="CK117">
        <f>123000</f>
        <v>123000</v>
      </c>
      <c r="CL117">
        <f>125000</f>
        <v>125000</v>
      </c>
      <c r="CM117">
        <f>127000</f>
        <v>127000</v>
      </c>
      <c r="CN117">
        <f>124000</f>
        <v>124000</v>
      </c>
      <c r="CO117">
        <f>125000</f>
        <v>125000</v>
      </c>
      <c r="CP117">
        <f>127000</f>
        <v>127000</v>
      </c>
      <c r="CQ117">
        <f>129000</f>
        <v>129000</v>
      </c>
      <c r="CR117">
        <f>131000</f>
        <v>131000</v>
      </c>
      <c r="CS117">
        <f>130000</f>
        <v>130000</v>
      </c>
      <c r="CT117" t="str">
        <f>""</f>
        <v/>
      </c>
      <c r="CU117">
        <f>126000</f>
        <v>126000</v>
      </c>
      <c r="CV117">
        <f>126000</f>
        <v>126000</v>
      </c>
      <c r="CW117">
        <f>125000</f>
        <v>125000</v>
      </c>
      <c r="CX117">
        <f>123000</f>
        <v>123000</v>
      </c>
      <c r="CY117">
        <f>122000</f>
        <v>122000</v>
      </c>
      <c r="CZ117">
        <f>115000</f>
        <v>115000</v>
      </c>
      <c r="DA117">
        <f>113000</f>
        <v>113000</v>
      </c>
      <c r="DB117">
        <f>108000</f>
        <v>108000</v>
      </c>
      <c r="DC117">
        <f>111000</f>
        <v>111000</v>
      </c>
      <c r="DD117">
        <f>111000</f>
        <v>111000</v>
      </c>
      <c r="DE117">
        <f>114000</f>
        <v>114000</v>
      </c>
      <c r="DF117">
        <f>114000</f>
        <v>114000</v>
      </c>
      <c r="DG117">
        <f>115000</f>
        <v>115000</v>
      </c>
      <c r="DH117">
        <f>116000</f>
        <v>116000</v>
      </c>
      <c r="DI117">
        <f>120000</f>
        <v>120000</v>
      </c>
      <c r="DJ117">
        <f>119000</f>
        <v>119000</v>
      </c>
      <c r="DK117">
        <f>119246</f>
        <v>119246</v>
      </c>
      <c r="DL117">
        <f>116000</f>
        <v>116000</v>
      </c>
      <c r="DM117">
        <f>121000</f>
        <v>121000</v>
      </c>
      <c r="DN117">
        <f>118000</f>
        <v>118000</v>
      </c>
      <c r="DO117">
        <f>121000</f>
        <v>121000</v>
      </c>
      <c r="DP117">
        <f>125000</f>
        <v>125000</v>
      </c>
      <c r="DQ117">
        <f>127000</f>
        <v>127000</v>
      </c>
      <c r="DR117">
        <f>125000</f>
        <v>125000</v>
      </c>
      <c r="DS117">
        <f>131000</f>
        <v>131000</v>
      </c>
      <c r="DT117">
        <f>137000</f>
        <v>137000</v>
      </c>
      <c r="DU117">
        <f>141000</f>
        <v>141000</v>
      </c>
    </row>
    <row r="118" spans="1:125">
      <c r="A118" t="str">
        <f>"    Regions Financial Corp"</f>
        <v xml:space="preserve">    Regions Financial Corp</v>
      </c>
      <c r="B118" t="str">
        <f>"RF US Equity"</f>
        <v>RF US Equity</v>
      </c>
      <c r="C118" t="str">
        <f t="shared" si="13"/>
        <v>BS960</v>
      </c>
      <c r="D118" t="str">
        <f t="shared" si="14"/>
        <v>BS_RESIDENT_MTG_SERVICED_OTHERS</v>
      </c>
      <c r="E118" t="str">
        <f t="shared" si="15"/>
        <v>Dynamic</v>
      </c>
      <c r="F118" t="str">
        <f ca="1">IF(AND(ISNUMBER($F$315),$B$185=1),$F$315,HLOOKUP(INDIRECT(ADDRESS(2,COLUMN())),OFFSET($BN$2,0,0,ROW()-1,60),ROW()-1,FALSE))</f>
        <v/>
      </c>
      <c r="G118" t="str">
        <f ca="1">IF(AND(ISNUMBER($G$315),$B$185=1),$G$315,HLOOKUP(INDIRECT(ADDRESS(2,COLUMN())),OFFSET($BN$2,0,0,ROW()-1,60),ROW()-1,FALSE))</f>
        <v/>
      </c>
      <c r="H118" t="str">
        <f ca="1">IF(AND(ISNUMBER($H$315),$B$185=1),$H$315,HLOOKUP(INDIRECT(ADDRESS(2,COLUMN())),OFFSET($BN$2,0,0,ROW()-1,60),ROW()-1,FALSE))</f>
        <v/>
      </c>
      <c r="I118" t="str">
        <f ca="1">IF(AND(ISNUMBER($I$315),$B$185=1),$I$315,HLOOKUP(INDIRECT(ADDRESS(2,COLUMN())),OFFSET($BN$2,0,0,ROW()-1,60),ROW()-1,FALSE))</f>
        <v/>
      </c>
      <c r="J118" t="str">
        <f ca="1">IF(AND(ISNUMBER($J$315),$B$185=1),$J$315,HLOOKUP(INDIRECT(ADDRESS(2,COLUMN())),OFFSET($BN$2,0,0,ROW()-1,60),ROW()-1,FALSE))</f>
        <v/>
      </c>
      <c r="K118" t="str">
        <f ca="1">IF(AND(ISNUMBER($K$315),$B$185=1),$K$315,HLOOKUP(INDIRECT(ADDRESS(2,COLUMN())),OFFSET($BN$2,0,0,ROW()-1,60),ROW()-1,FALSE))</f>
        <v/>
      </c>
      <c r="L118" t="str">
        <f ca="1">IF(AND(ISNUMBER($L$315),$B$185=1),$L$315,HLOOKUP(INDIRECT(ADDRESS(2,COLUMN())),OFFSET($BN$2,0,0,ROW()-1,60),ROW()-1,FALSE))</f>
        <v/>
      </c>
      <c r="M118" t="str">
        <f ca="1">IF(AND(ISNUMBER($M$315),$B$185=1),$M$315,HLOOKUP(INDIRECT(ADDRESS(2,COLUMN())),OFFSET($BN$2,0,0,ROW()-1,60),ROW()-1,FALSE))</f>
        <v/>
      </c>
      <c r="N118" t="str">
        <f ca="1">IF(AND(ISNUMBER($N$315),$B$185=1),$N$315,HLOOKUP(INDIRECT(ADDRESS(2,COLUMN())),OFFSET($BN$2,0,0,ROW()-1,60),ROW()-1,FALSE))</f>
        <v/>
      </c>
      <c r="O118" t="str">
        <f ca="1">IF(AND(ISNUMBER($O$315),$B$185=1),$O$315,HLOOKUP(INDIRECT(ADDRESS(2,COLUMN())),OFFSET($BN$2,0,0,ROW()-1,60),ROW()-1,FALSE))</f>
        <v/>
      </c>
      <c r="P118" t="str">
        <f ca="1">IF(AND(ISNUMBER($P$315),$B$185=1),$P$315,HLOOKUP(INDIRECT(ADDRESS(2,COLUMN())),OFFSET($BN$2,0,0,ROW()-1,60),ROW()-1,FALSE))</f>
        <v/>
      </c>
      <c r="Q118" t="str">
        <f ca="1">IF(AND(ISNUMBER($Q$315),$B$185=1),$Q$315,HLOOKUP(INDIRECT(ADDRESS(2,COLUMN())),OFFSET($BN$2,0,0,ROW()-1,60),ROW()-1,FALSE))</f>
        <v/>
      </c>
      <c r="R118" t="str">
        <f ca="1">IF(AND(ISNUMBER($R$315),$B$185=1),$R$315,HLOOKUP(INDIRECT(ADDRESS(2,COLUMN())),OFFSET($BN$2,0,0,ROW()-1,60),ROW()-1,FALSE))</f>
        <v/>
      </c>
      <c r="S118" t="str">
        <f ca="1">IF(AND(ISNUMBER($S$315),$B$185=1),$S$315,HLOOKUP(INDIRECT(ADDRESS(2,COLUMN())),OFFSET($BN$2,0,0,ROW()-1,60),ROW()-1,FALSE))</f>
        <v/>
      </c>
      <c r="T118" t="str">
        <f ca="1">IF(AND(ISNUMBER($T$315),$B$185=1),$T$315,HLOOKUP(INDIRECT(ADDRESS(2,COLUMN())),OFFSET($BN$2,0,0,ROW()-1,60),ROW()-1,FALSE))</f>
        <v/>
      </c>
      <c r="U118" t="str">
        <f ca="1">IF(AND(ISNUMBER($U$315),$B$185=1),$U$315,HLOOKUP(INDIRECT(ADDRESS(2,COLUMN())),OFFSET($BN$2,0,0,ROW()-1,60),ROW()-1,FALSE))</f>
        <v/>
      </c>
      <c r="V118" t="str">
        <f ca="1">IF(AND(ISNUMBER($V$315),$B$185=1),$V$315,HLOOKUP(INDIRECT(ADDRESS(2,COLUMN())),OFFSET($BN$2,0,0,ROW()-1,60),ROW()-1,FALSE))</f>
        <v/>
      </c>
      <c r="W118" t="str">
        <f ca="1">IF(AND(ISNUMBER($W$315),$B$185=1),$W$315,HLOOKUP(INDIRECT(ADDRESS(2,COLUMN())),OFFSET($BN$2,0,0,ROW()-1,60),ROW()-1,FALSE))</f>
        <v/>
      </c>
      <c r="X118" t="str">
        <f ca="1">IF(AND(ISNUMBER($X$315),$B$185=1),$X$315,HLOOKUP(INDIRECT(ADDRESS(2,COLUMN())),OFFSET($BN$2,0,0,ROW()-1,60),ROW()-1,FALSE))</f>
        <v/>
      </c>
      <c r="Y118" t="str">
        <f ca="1">IF(AND(ISNUMBER($Y$315),$B$185=1),$Y$315,HLOOKUP(INDIRECT(ADDRESS(2,COLUMN())),OFFSET($BN$2,0,0,ROW()-1,60),ROW()-1,FALSE))</f>
        <v/>
      </c>
      <c r="Z118" t="str">
        <f ca="1">IF(AND(ISNUMBER($Z$315),$B$185=1),$Z$315,HLOOKUP(INDIRECT(ADDRESS(2,COLUMN())),OFFSET($BN$2,0,0,ROW()-1,60),ROW()-1,FALSE))</f>
        <v/>
      </c>
      <c r="AA118" t="str">
        <f ca="1">IF(AND(ISNUMBER($AA$315),$B$185=1),$AA$315,HLOOKUP(INDIRECT(ADDRESS(2,COLUMN())),OFFSET($BN$2,0,0,ROW()-1,60),ROW()-1,FALSE))</f>
        <v/>
      </c>
      <c r="AB118" t="str">
        <f ca="1">IF(AND(ISNUMBER($AB$315),$B$185=1),$AB$315,HLOOKUP(INDIRECT(ADDRESS(2,COLUMN())),OFFSET($BN$2,0,0,ROW()-1,60),ROW()-1,FALSE))</f>
        <v/>
      </c>
      <c r="AC118" t="str">
        <f ca="1">IF(AND(ISNUMBER($AC$315),$B$185=1),$AC$315,HLOOKUP(INDIRECT(ADDRESS(2,COLUMN())),OFFSET($BN$2,0,0,ROW()-1,60),ROW()-1,FALSE))</f>
        <v/>
      </c>
      <c r="AD118" t="str">
        <f ca="1">IF(AND(ISNUMBER($AD$315),$B$185=1),$AD$315,HLOOKUP(INDIRECT(ADDRESS(2,COLUMN())),OFFSET($BN$2,0,0,ROW()-1,60),ROW()-1,FALSE))</f>
        <v/>
      </c>
      <c r="AE118" t="str">
        <f ca="1">IF(AND(ISNUMBER($AE$315),$B$185=1),$AE$315,HLOOKUP(INDIRECT(ADDRESS(2,COLUMN())),OFFSET($BN$2,0,0,ROW()-1,60),ROW()-1,FALSE))</f>
        <v/>
      </c>
      <c r="AF118" t="str">
        <f ca="1">IF(AND(ISNUMBER($AF$315),$B$185=1),$AF$315,HLOOKUP(INDIRECT(ADDRESS(2,COLUMN())),OFFSET($BN$2,0,0,ROW()-1,60),ROW()-1,FALSE))</f>
        <v/>
      </c>
      <c r="AG118" t="str">
        <f ca="1">IF(AND(ISNUMBER($AG$315),$B$185=1),$AG$315,HLOOKUP(INDIRECT(ADDRESS(2,COLUMN())),OFFSET($BN$2,0,0,ROW()-1,60),ROW()-1,FALSE))</f>
        <v/>
      </c>
      <c r="AH118" t="str">
        <f ca="1">IF(AND(ISNUMBER($AH$315),$B$185=1),$AH$315,HLOOKUP(INDIRECT(ADDRESS(2,COLUMN())),OFFSET($BN$2,0,0,ROW()-1,60),ROW()-1,FALSE))</f>
        <v/>
      </c>
      <c r="AI118" t="str">
        <f ca="1">IF(AND(ISNUMBER($AI$315),$B$185=1),$AI$315,HLOOKUP(INDIRECT(ADDRESS(2,COLUMN())),OFFSET($BN$2,0,0,ROW()-1,60),ROW()-1,FALSE))</f>
        <v/>
      </c>
      <c r="AJ118" t="str">
        <f ca="1">IF(AND(ISNUMBER($AJ$315),$B$185=1),$AJ$315,HLOOKUP(INDIRECT(ADDRESS(2,COLUMN())),OFFSET($BN$2,0,0,ROW()-1,60),ROW()-1,FALSE))</f>
        <v/>
      </c>
      <c r="AK118" t="str">
        <f ca="1">IF(AND(ISNUMBER($AK$315),$B$185=1),$AK$315,HLOOKUP(INDIRECT(ADDRESS(2,COLUMN())),OFFSET($BN$2,0,0,ROW()-1,60),ROW()-1,FALSE))</f>
        <v/>
      </c>
      <c r="AL118" t="str">
        <f ca="1">IF(AND(ISNUMBER($AL$315),$B$185=1),$AL$315,HLOOKUP(INDIRECT(ADDRESS(2,COLUMN())),OFFSET($BN$2,0,0,ROW()-1,60),ROW()-1,FALSE))</f>
        <v/>
      </c>
      <c r="AM118" t="str">
        <f ca="1">IF(AND(ISNUMBER($AM$315),$B$185=1),$AM$315,HLOOKUP(INDIRECT(ADDRESS(2,COLUMN())),OFFSET($BN$2,0,0,ROW()-1,60),ROW()-1,FALSE))</f>
        <v/>
      </c>
      <c r="AN118" t="str">
        <f ca="1">IF(AND(ISNUMBER($AN$315),$B$185=1),$AN$315,HLOOKUP(INDIRECT(ADDRESS(2,COLUMN())),OFFSET($BN$2,0,0,ROW()-1,60),ROW()-1,FALSE))</f>
        <v/>
      </c>
      <c r="AO118" t="str">
        <f ca="1">IF(AND(ISNUMBER($AO$315),$B$185=1),$AO$315,HLOOKUP(INDIRECT(ADDRESS(2,COLUMN())),OFFSET($BN$2,0,0,ROW()-1,60),ROW()-1,FALSE))</f>
        <v/>
      </c>
      <c r="AP118" t="str">
        <f ca="1">IF(AND(ISNUMBER($AP$315),$B$185=1),$AP$315,HLOOKUP(INDIRECT(ADDRESS(2,COLUMN())),OFFSET($BN$2,0,0,ROW()-1,60),ROW()-1,FALSE))</f>
        <v/>
      </c>
      <c r="AQ118" t="str">
        <f ca="1">IF(AND(ISNUMBER($AQ$315),$B$185=1),$AQ$315,HLOOKUP(INDIRECT(ADDRESS(2,COLUMN())),OFFSET($BN$2,0,0,ROW()-1,60),ROW()-1,FALSE))</f>
        <v/>
      </c>
      <c r="AR118" t="str">
        <f ca="1">IF(AND(ISNUMBER($AR$315),$B$185=1),$AR$315,HLOOKUP(INDIRECT(ADDRESS(2,COLUMN())),OFFSET($BN$2,0,0,ROW()-1,60),ROW()-1,FALSE))</f>
        <v/>
      </c>
      <c r="AS118" t="str">
        <f ca="1">IF(AND(ISNUMBER($AS$315),$B$185=1),$AS$315,HLOOKUP(INDIRECT(ADDRESS(2,COLUMN())),OFFSET($BN$2,0,0,ROW()-1,60),ROW()-1,FALSE))</f>
        <v/>
      </c>
      <c r="AT118" t="str">
        <f ca="1">IF(AND(ISNUMBER($AT$315),$B$185=1),$AT$315,HLOOKUP(INDIRECT(ADDRESS(2,COLUMN())),OFFSET($BN$2,0,0,ROW()-1,60),ROW()-1,FALSE))</f>
        <v/>
      </c>
      <c r="AU118" t="str">
        <f ca="1">IF(AND(ISNUMBER($AU$315),$B$185=1),$AU$315,HLOOKUP(INDIRECT(ADDRESS(2,COLUMN())),OFFSET($BN$2,0,0,ROW()-1,60),ROW()-1,FALSE))</f>
        <v/>
      </c>
      <c r="AV118" t="str">
        <f ca="1">IF(AND(ISNUMBER($AV$315),$B$185=1),$AV$315,HLOOKUP(INDIRECT(ADDRESS(2,COLUMN())),OFFSET($BN$2,0,0,ROW()-1,60),ROW()-1,FALSE))</f>
        <v/>
      </c>
      <c r="AW118" t="str">
        <f ca="1">IF(AND(ISNUMBER($AW$315),$B$185=1),$AW$315,HLOOKUP(INDIRECT(ADDRESS(2,COLUMN())),OFFSET($BN$2,0,0,ROW()-1,60),ROW()-1,FALSE))</f>
        <v/>
      </c>
      <c r="AX118">
        <f ca="1">IF(AND(ISNUMBER($AX$315),$B$185=1),$AX$315,HLOOKUP(INDIRECT(ADDRESS(2,COLUMN())),OFFSET($BN$2,0,0,ROW()-1,60),ROW()-1,FALSE))</f>
        <v>28500</v>
      </c>
      <c r="AY118" t="str">
        <f ca="1">IF(AND(ISNUMBER($AY$315),$B$185=1),$AY$315,HLOOKUP(INDIRECT(ADDRESS(2,COLUMN())),OFFSET($BN$2,0,0,ROW()-1,60),ROW()-1,FALSE))</f>
        <v/>
      </c>
      <c r="AZ118" t="str">
        <f ca="1">IF(AND(ISNUMBER($AZ$315),$B$185=1),$AZ$315,HLOOKUP(INDIRECT(ADDRESS(2,COLUMN())),OFFSET($BN$2,0,0,ROW()-1,60),ROW()-1,FALSE))</f>
        <v/>
      </c>
      <c r="BA118" t="str">
        <f ca="1">IF(AND(ISNUMBER($BA$315),$B$185=1),$BA$315,HLOOKUP(INDIRECT(ADDRESS(2,COLUMN())),OFFSET($BN$2,0,0,ROW()-1,60),ROW()-1,FALSE))</f>
        <v/>
      </c>
      <c r="BB118">
        <f ca="1">IF(AND(ISNUMBER($BB$315),$B$185=1),$BB$315,HLOOKUP(INDIRECT(ADDRESS(2,COLUMN())),OFFSET($BN$2,0,0,ROW()-1,60),ROW()-1,FALSE))</f>
        <v>26200</v>
      </c>
      <c r="BC118" t="str">
        <f ca="1">IF(AND(ISNUMBER($BC$315),$B$185=1),$BC$315,HLOOKUP(INDIRECT(ADDRESS(2,COLUMN())),OFFSET($BN$2,0,0,ROW()-1,60),ROW()-1,FALSE))</f>
        <v/>
      </c>
      <c r="BD118" t="str">
        <f ca="1">IF(AND(ISNUMBER($BD$315),$B$185=1),$BD$315,HLOOKUP(INDIRECT(ADDRESS(2,COLUMN())),OFFSET($BN$2,0,0,ROW()-1,60),ROW()-1,FALSE))</f>
        <v/>
      </c>
      <c r="BE118" t="str">
        <f ca="1">IF(AND(ISNUMBER($BE$315),$B$185=1),$BE$315,HLOOKUP(INDIRECT(ADDRESS(2,COLUMN())),OFFSET($BN$2,0,0,ROW()-1,60),ROW()-1,FALSE))</f>
        <v/>
      </c>
      <c r="BF118">
        <f ca="1">IF(AND(ISNUMBER($BF$315),$B$185=1),$BF$315,HLOOKUP(INDIRECT(ADDRESS(2,COLUMN())),OFFSET($BN$2,0,0,ROW()-1,60),ROW()-1,FALSE))</f>
        <v>26700</v>
      </c>
      <c r="BG118" t="str">
        <f ca="1">IF(AND(ISNUMBER($BG$315),$B$185=1),$BG$315,HLOOKUP(INDIRECT(ADDRESS(2,COLUMN())),OFFSET($BN$2,0,0,ROW()-1,60),ROW()-1,FALSE))</f>
        <v/>
      </c>
      <c r="BH118" t="str">
        <f ca="1">IF(AND(ISNUMBER($BH$315),$B$185=1),$BH$315,HLOOKUP(INDIRECT(ADDRESS(2,COLUMN())),OFFSET($BN$2,0,0,ROW()-1,60),ROW()-1,FALSE))</f>
        <v/>
      </c>
      <c r="BI118" t="str">
        <f ca="1">IF(AND(ISNUMBER($BI$315),$B$185=1),$BI$315,HLOOKUP(INDIRECT(ADDRESS(2,COLUMN())),OFFSET($BN$2,0,0,ROW()-1,60),ROW()-1,FALSE))</f>
        <v/>
      </c>
      <c r="BJ118">
        <f ca="1">IF(AND(ISNUMBER($BJ$315),$B$185=1),$BJ$315,HLOOKUP(INDIRECT(ADDRESS(2,COLUMN())),OFFSET($BN$2,0,0,ROW()-1,60),ROW()-1,FALSE))</f>
        <v>26000</v>
      </c>
      <c r="BK118" t="str">
        <f ca="1">IF(AND(ISNUMBER($BK$315),$B$185=1),$BK$315,HLOOKUP(INDIRECT(ADDRESS(2,COLUMN())),OFFSET($BN$2,0,0,ROW()-1,60),ROW()-1,FALSE))</f>
        <v/>
      </c>
      <c r="BL118" t="str">
        <f ca="1">IF(AND(ISNUMBER($BL$315),$B$185=1),$BL$315,HLOOKUP(INDIRECT(ADDRESS(2,COLUMN())),OFFSET($BN$2,0,0,ROW()-1,60),ROW()-1,FALSE))</f>
        <v/>
      </c>
      <c r="BM118" t="str">
        <f ca="1">IF(AND(ISNUMBER($BM$315),$B$185=1),$BM$315,HLOOKUP(INDIRECT(ADDRESS(2,COLUMN())),OFFSET($BN$2,0,0,ROW()-1,60),ROW()-1,FALSE))</f>
        <v/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  <c r="BT118" t="str">
        <f>""</f>
        <v/>
      </c>
      <c r="BU118" t="str">
        <f>""</f>
        <v/>
      </c>
      <c r="BV118" t="str">
        <f>""</f>
        <v/>
      </c>
      <c r="BW118" t="str">
        <f>""</f>
        <v/>
      </c>
      <c r="BX118" t="str">
        <f>""</f>
        <v/>
      </c>
      <c r="BY118" t="str">
        <f>""</f>
        <v/>
      </c>
      <c r="BZ118" t="str">
        <f>""</f>
        <v/>
      </c>
      <c r="CA118" t="str">
        <f>""</f>
        <v/>
      </c>
      <c r="CB118" t="str">
        <f>""</f>
        <v/>
      </c>
      <c r="CC118" t="str">
        <f>""</f>
        <v/>
      </c>
      <c r="CD118" t="str">
        <f>""</f>
        <v/>
      </c>
      <c r="CE118" t="str">
        <f>""</f>
        <v/>
      </c>
      <c r="CF118" t="str">
        <f>""</f>
        <v/>
      </c>
      <c r="CG118" t="str">
        <f>""</f>
        <v/>
      </c>
      <c r="CH118" t="str">
        <f>""</f>
        <v/>
      </c>
      <c r="CI118" t="str">
        <f>""</f>
        <v/>
      </c>
      <c r="CJ118" t="str">
        <f>""</f>
        <v/>
      </c>
      <c r="CK118" t="str">
        <f>""</f>
        <v/>
      </c>
      <c r="CL118" t="str">
        <f>""</f>
        <v/>
      </c>
      <c r="CM118" t="str">
        <f>""</f>
        <v/>
      </c>
      <c r="CN118" t="str">
        <f>""</f>
        <v/>
      </c>
      <c r="CO118" t="str">
        <f>""</f>
        <v/>
      </c>
      <c r="CP118" t="str">
        <f>""</f>
        <v/>
      </c>
      <c r="CQ118" t="str">
        <f>""</f>
        <v/>
      </c>
      <c r="CR118" t="str">
        <f>""</f>
        <v/>
      </c>
      <c r="CS118" t="str">
        <f>""</f>
        <v/>
      </c>
      <c r="CT118" t="str">
        <f>""</f>
        <v/>
      </c>
      <c r="CU118" t="str">
        <f>""</f>
        <v/>
      </c>
      <c r="CV118" t="str">
        <f>""</f>
        <v/>
      </c>
      <c r="CW118" t="str">
        <f>""</f>
        <v/>
      </c>
      <c r="CX118" t="str">
        <f>""</f>
        <v/>
      </c>
      <c r="CY118" t="str">
        <f>""</f>
        <v/>
      </c>
      <c r="CZ118" t="str">
        <f>""</f>
        <v/>
      </c>
      <c r="DA118" t="str">
        <f>""</f>
        <v/>
      </c>
      <c r="DB118" t="str">
        <f>""</f>
        <v/>
      </c>
      <c r="DC118" t="str">
        <f>""</f>
        <v/>
      </c>
      <c r="DD118" t="str">
        <f>""</f>
        <v/>
      </c>
      <c r="DE118" t="str">
        <f>""</f>
        <v/>
      </c>
      <c r="DF118">
        <f>28500</f>
        <v>28500</v>
      </c>
      <c r="DG118" t="str">
        <f>""</f>
        <v/>
      </c>
      <c r="DH118" t="str">
        <f>""</f>
        <v/>
      </c>
      <c r="DI118" t="str">
        <f>""</f>
        <v/>
      </c>
      <c r="DJ118">
        <f>26200</f>
        <v>26200</v>
      </c>
      <c r="DK118" t="str">
        <f>""</f>
        <v/>
      </c>
      <c r="DL118" t="str">
        <f>""</f>
        <v/>
      </c>
      <c r="DM118" t="str">
        <f>""</f>
        <v/>
      </c>
      <c r="DN118">
        <f>26700</f>
        <v>26700</v>
      </c>
      <c r="DO118" t="str">
        <f>""</f>
        <v/>
      </c>
      <c r="DP118" t="str">
        <f>""</f>
        <v/>
      </c>
      <c r="DQ118" t="str">
        <f>""</f>
        <v/>
      </c>
      <c r="DR118">
        <f>26000</f>
        <v>26000</v>
      </c>
      <c r="DS118" t="str">
        <f>""</f>
        <v/>
      </c>
      <c r="DT118" t="str">
        <f>""</f>
        <v/>
      </c>
      <c r="DU118" t="str">
        <f>""</f>
        <v/>
      </c>
    </row>
    <row r="119" spans="1:125">
      <c r="A119" t="str">
        <f>"    Signature Bank/New York NY"</f>
        <v xml:space="preserve">    Signature Bank/New York NY</v>
      </c>
      <c r="B119" t="str">
        <f>"SBNY US Equity"</f>
        <v>SBNY US Equity</v>
      </c>
      <c r="C119" t="str">
        <f t="shared" si="13"/>
        <v>BS960</v>
      </c>
      <c r="D119" t="str">
        <f t="shared" si="14"/>
        <v>BS_RESIDENT_MTG_SERVICED_OTHERS</v>
      </c>
      <c r="E119" t="str">
        <f t="shared" si="15"/>
        <v>Dynamic</v>
      </c>
      <c r="F119" t="str">
        <f ca="1">IF(AND(ISNUMBER($F$316),$B$185=1),$F$316,HLOOKUP(INDIRECT(ADDRESS(2,COLUMN())),OFFSET($BN$2,0,0,ROW()-1,60),ROW()-1,FALSE))</f>
        <v/>
      </c>
      <c r="G119" t="str">
        <f ca="1">IF(AND(ISNUMBER($G$316),$B$185=1),$G$316,HLOOKUP(INDIRECT(ADDRESS(2,COLUMN())),OFFSET($BN$2,0,0,ROW()-1,60),ROW()-1,FALSE))</f>
        <v/>
      </c>
      <c r="H119" t="str">
        <f ca="1">IF(AND(ISNUMBER($H$316),$B$185=1),$H$316,HLOOKUP(INDIRECT(ADDRESS(2,COLUMN())),OFFSET($BN$2,0,0,ROW()-1,60),ROW()-1,FALSE))</f>
        <v/>
      </c>
      <c r="I119" t="str">
        <f ca="1">IF(AND(ISNUMBER($I$316),$B$185=1),$I$316,HLOOKUP(INDIRECT(ADDRESS(2,COLUMN())),OFFSET($BN$2,0,0,ROW()-1,60),ROW()-1,FALSE))</f>
        <v/>
      </c>
      <c r="J119" t="str">
        <f ca="1">IF(AND(ISNUMBER($J$316),$B$185=1),$J$316,HLOOKUP(INDIRECT(ADDRESS(2,COLUMN())),OFFSET($BN$2,0,0,ROW()-1,60),ROW()-1,FALSE))</f>
        <v/>
      </c>
      <c r="K119" t="str">
        <f ca="1">IF(AND(ISNUMBER($K$316),$B$185=1),$K$316,HLOOKUP(INDIRECT(ADDRESS(2,COLUMN())),OFFSET($BN$2,0,0,ROW()-1,60),ROW()-1,FALSE))</f>
        <v/>
      </c>
      <c r="L119" t="str">
        <f ca="1">IF(AND(ISNUMBER($L$316),$B$185=1),$L$316,HLOOKUP(INDIRECT(ADDRESS(2,COLUMN())),OFFSET($BN$2,0,0,ROW()-1,60),ROW()-1,FALSE))</f>
        <v/>
      </c>
      <c r="M119" t="str">
        <f ca="1">IF(AND(ISNUMBER($M$316),$B$185=1),$M$316,HLOOKUP(INDIRECT(ADDRESS(2,COLUMN())),OFFSET($BN$2,0,0,ROW()-1,60),ROW()-1,FALSE))</f>
        <v/>
      </c>
      <c r="N119" t="str">
        <f ca="1">IF(AND(ISNUMBER($N$316),$B$185=1),$N$316,HLOOKUP(INDIRECT(ADDRESS(2,COLUMN())),OFFSET($BN$2,0,0,ROW()-1,60),ROW()-1,FALSE))</f>
        <v/>
      </c>
      <c r="O119" t="str">
        <f ca="1">IF(AND(ISNUMBER($O$316),$B$185=1),$O$316,HLOOKUP(INDIRECT(ADDRESS(2,COLUMN())),OFFSET($BN$2,0,0,ROW()-1,60),ROW()-1,FALSE))</f>
        <v/>
      </c>
      <c r="P119" t="str">
        <f ca="1">IF(AND(ISNUMBER($P$316),$B$185=1),$P$316,HLOOKUP(INDIRECT(ADDRESS(2,COLUMN())),OFFSET($BN$2,0,0,ROW()-1,60),ROW()-1,FALSE))</f>
        <v/>
      </c>
      <c r="Q119" t="str">
        <f ca="1">IF(AND(ISNUMBER($Q$316),$B$185=1),$Q$316,HLOOKUP(INDIRECT(ADDRESS(2,COLUMN())),OFFSET($BN$2,0,0,ROW()-1,60),ROW()-1,FALSE))</f>
        <v/>
      </c>
      <c r="R119" t="str">
        <f ca="1">IF(AND(ISNUMBER($R$316),$B$185=1),$R$316,HLOOKUP(INDIRECT(ADDRESS(2,COLUMN())),OFFSET($BN$2,0,0,ROW()-1,60),ROW()-1,FALSE))</f>
        <v/>
      </c>
      <c r="S119" t="str">
        <f ca="1">IF(AND(ISNUMBER($S$316),$B$185=1),$S$316,HLOOKUP(INDIRECT(ADDRESS(2,COLUMN())),OFFSET($BN$2,0,0,ROW()-1,60),ROW()-1,FALSE))</f>
        <v/>
      </c>
      <c r="T119" t="str">
        <f ca="1">IF(AND(ISNUMBER($T$316),$B$185=1),$T$316,HLOOKUP(INDIRECT(ADDRESS(2,COLUMN())),OFFSET($BN$2,0,0,ROW()-1,60),ROW()-1,FALSE))</f>
        <v/>
      </c>
      <c r="U119" t="str">
        <f ca="1">IF(AND(ISNUMBER($U$316),$B$185=1),$U$316,HLOOKUP(INDIRECT(ADDRESS(2,COLUMN())),OFFSET($BN$2,0,0,ROW()-1,60),ROW()-1,FALSE))</f>
        <v/>
      </c>
      <c r="V119" t="str">
        <f ca="1">IF(AND(ISNUMBER($V$316),$B$185=1),$V$316,HLOOKUP(INDIRECT(ADDRESS(2,COLUMN())),OFFSET($BN$2,0,0,ROW()-1,60),ROW()-1,FALSE))</f>
        <v/>
      </c>
      <c r="W119" t="str">
        <f ca="1">IF(AND(ISNUMBER($W$316),$B$185=1),$W$316,HLOOKUP(INDIRECT(ADDRESS(2,COLUMN())),OFFSET($BN$2,0,0,ROW()-1,60),ROW()-1,FALSE))</f>
        <v/>
      </c>
      <c r="X119" t="str">
        <f ca="1">IF(AND(ISNUMBER($X$316),$B$185=1),$X$316,HLOOKUP(INDIRECT(ADDRESS(2,COLUMN())),OFFSET($BN$2,0,0,ROW()-1,60),ROW()-1,FALSE))</f>
        <v/>
      </c>
      <c r="Y119" t="str">
        <f ca="1">IF(AND(ISNUMBER($Y$316),$B$185=1),$Y$316,HLOOKUP(INDIRECT(ADDRESS(2,COLUMN())),OFFSET($BN$2,0,0,ROW()-1,60),ROW()-1,FALSE))</f>
        <v/>
      </c>
      <c r="Z119" t="str">
        <f ca="1">IF(AND(ISNUMBER($Z$316),$B$185=1),$Z$316,HLOOKUP(INDIRECT(ADDRESS(2,COLUMN())),OFFSET($BN$2,0,0,ROW()-1,60),ROW()-1,FALSE))</f>
        <v/>
      </c>
      <c r="AA119" t="str">
        <f ca="1">IF(AND(ISNUMBER($AA$316),$B$185=1),$AA$316,HLOOKUP(INDIRECT(ADDRESS(2,COLUMN())),OFFSET($BN$2,0,0,ROW()-1,60),ROW()-1,FALSE))</f>
        <v/>
      </c>
      <c r="AB119" t="str">
        <f ca="1">IF(AND(ISNUMBER($AB$316),$B$185=1),$AB$316,HLOOKUP(INDIRECT(ADDRESS(2,COLUMN())),OFFSET($BN$2,0,0,ROW()-1,60),ROW()-1,FALSE))</f>
        <v/>
      </c>
      <c r="AC119" t="str">
        <f ca="1">IF(AND(ISNUMBER($AC$316),$B$185=1),$AC$316,HLOOKUP(INDIRECT(ADDRESS(2,COLUMN())),OFFSET($BN$2,0,0,ROW()-1,60),ROW()-1,FALSE))</f>
        <v/>
      </c>
      <c r="AD119" t="str">
        <f ca="1">IF(AND(ISNUMBER($AD$316),$B$185=1),$AD$316,HLOOKUP(INDIRECT(ADDRESS(2,COLUMN())),OFFSET($BN$2,0,0,ROW()-1,60),ROW()-1,FALSE))</f>
        <v/>
      </c>
      <c r="AE119" t="str">
        <f ca="1">IF(AND(ISNUMBER($AE$316),$B$185=1),$AE$316,HLOOKUP(INDIRECT(ADDRESS(2,COLUMN())),OFFSET($BN$2,0,0,ROW()-1,60),ROW()-1,FALSE))</f>
        <v/>
      </c>
      <c r="AF119" t="str">
        <f ca="1">IF(AND(ISNUMBER($AF$316),$B$185=1),$AF$316,HLOOKUP(INDIRECT(ADDRESS(2,COLUMN())),OFFSET($BN$2,0,0,ROW()-1,60),ROW()-1,FALSE))</f>
        <v/>
      </c>
      <c r="AG119" t="str">
        <f ca="1">IF(AND(ISNUMBER($AG$316),$B$185=1),$AG$316,HLOOKUP(INDIRECT(ADDRESS(2,COLUMN())),OFFSET($BN$2,0,0,ROW()-1,60),ROW()-1,FALSE))</f>
        <v/>
      </c>
      <c r="AH119" t="str">
        <f ca="1">IF(AND(ISNUMBER($AH$316),$B$185=1),$AH$316,HLOOKUP(INDIRECT(ADDRESS(2,COLUMN())),OFFSET($BN$2,0,0,ROW()-1,60),ROW()-1,FALSE))</f>
        <v/>
      </c>
      <c r="AI119" t="str">
        <f ca="1">IF(AND(ISNUMBER($AI$316),$B$185=1),$AI$316,HLOOKUP(INDIRECT(ADDRESS(2,COLUMN())),OFFSET($BN$2,0,0,ROW()-1,60),ROW()-1,FALSE))</f>
        <v/>
      </c>
      <c r="AJ119" t="str">
        <f ca="1">IF(AND(ISNUMBER($AJ$316),$B$185=1),$AJ$316,HLOOKUP(INDIRECT(ADDRESS(2,COLUMN())),OFFSET($BN$2,0,0,ROW()-1,60),ROW()-1,FALSE))</f>
        <v/>
      </c>
      <c r="AK119" t="str">
        <f ca="1">IF(AND(ISNUMBER($AK$316),$B$185=1),$AK$316,HLOOKUP(INDIRECT(ADDRESS(2,COLUMN())),OFFSET($BN$2,0,0,ROW()-1,60),ROW()-1,FALSE))</f>
        <v/>
      </c>
      <c r="AL119" t="str">
        <f ca="1">IF(AND(ISNUMBER($AL$316),$B$185=1),$AL$316,HLOOKUP(INDIRECT(ADDRESS(2,COLUMN())),OFFSET($BN$2,0,0,ROW()-1,60),ROW()-1,FALSE))</f>
        <v/>
      </c>
      <c r="AM119" t="str">
        <f ca="1">IF(AND(ISNUMBER($AM$316),$B$185=1),$AM$316,HLOOKUP(INDIRECT(ADDRESS(2,COLUMN())),OFFSET($BN$2,0,0,ROW()-1,60),ROW()-1,FALSE))</f>
        <v/>
      </c>
      <c r="AN119" t="str">
        <f ca="1">IF(AND(ISNUMBER($AN$316),$B$185=1),$AN$316,HLOOKUP(INDIRECT(ADDRESS(2,COLUMN())),OFFSET($BN$2,0,0,ROW()-1,60),ROW()-1,FALSE))</f>
        <v/>
      </c>
      <c r="AO119" t="str">
        <f ca="1">IF(AND(ISNUMBER($AO$316),$B$185=1),$AO$316,HLOOKUP(INDIRECT(ADDRESS(2,COLUMN())),OFFSET($BN$2,0,0,ROW()-1,60),ROW()-1,FALSE))</f>
        <v/>
      </c>
      <c r="AP119" t="str">
        <f ca="1">IF(AND(ISNUMBER($AP$316),$B$185=1),$AP$316,HLOOKUP(INDIRECT(ADDRESS(2,COLUMN())),OFFSET($BN$2,0,0,ROW()-1,60),ROW()-1,FALSE))</f>
        <v/>
      </c>
      <c r="AQ119" t="str">
        <f ca="1">IF(AND(ISNUMBER($AQ$316),$B$185=1),$AQ$316,HLOOKUP(INDIRECT(ADDRESS(2,COLUMN())),OFFSET($BN$2,0,0,ROW()-1,60),ROW()-1,FALSE))</f>
        <v/>
      </c>
      <c r="AR119" t="str">
        <f ca="1">IF(AND(ISNUMBER($AR$316),$B$185=1),$AR$316,HLOOKUP(INDIRECT(ADDRESS(2,COLUMN())),OFFSET($BN$2,0,0,ROW()-1,60),ROW()-1,FALSE))</f>
        <v/>
      </c>
      <c r="AS119" t="str">
        <f ca="1">IF(AND(ISNUMBER($AS$316),$B$185=1),$AS$316,HLOOKUP(INDIRECT(ADDRESS(2,COLUMN())),OFFSET($BN$2,0,0,ROW()-1,60),ROW()-1,FALSE))</f>
        <v/>
      </c>
      <c r="AT119" t="str">
        <f ca="1">IF(AND(ISNUMBER($AT$316),$B$185=1),$AT$316,HLOOKUP(INDIRECT(ADDRESS(2,COLUMN())),OFFSET($BN$2,0,0,ROW()-1,60),ROW()-1,FALSE))</f>
        <v/>
      </c>
      <c r="AU119" t="str">
        <f ca="1">IF(AND(ISNUMBER($AU$316),$B$185=1),$AU$316,HLOOKUP(INDIRECT(ADDRESS(2,COLUMN())),OFFSET($BN$2,0,0,ROW()-1,60),ROW()-1,FALSE))</f>
        <v/>
      </c>
      <c r="AV119" t="str">
        <f ca="1">IF(AND(ISNUMBER($AV$316),$B$185=1),$AV$316,HLOOKUP(INDIRECT(ADDRESS(2,COLUMN())),OFFSET($BN$2,0,0,ROW()-1,60),ROW()-1,FALSE))</f>
        <v/>
      </c>
      <c r="AW119" t="str">
        <f ca="1">IF(AND(ISNUMBER($AW$316),$B$185=1),$AW$316,HLOOKUP(INDIRECT(ADDRESS(2,COLUMN())),OFFSET($BN$2,0,0,ROW()-1,60),ROW()-1,FALSE))</f>
        <v/>
      </c>
      <c r="AX119" t="str">
        <f ca="1">IF(AND(ISNUMBER($AX$316),$B$185=1),$AX$316,HLOOKUP(INDIRECT(ADDRESS(2,COLUMN())),OFFSET($BN$2,0,0,ROW()-1,60),ROW()-1,FALSE))</f>
        <v/>
      </c>
      <c r="AY119" t="str">
        <f ca="1">IF(AND(ISNUMBER($AY$316),$B$185=1),$AY$316,HLOOKUP(INDIRECT(ADDRESS(2,COLUMN())),OFFSET($BN$2,0,0,ROW()-1,60),ROW()-1,FALSE))</f>
        <v/>
      </c>
      <c r="AZ119" t="str">
        <f ca="1">IF(AND(ISNUMBER($AZ$316),$B$185=1),$AZ$316,HLOOKUP(INDIRECT(ADDRESS(2,COLUMN())),OFFSET($BN$2,0,0,ROW()-1,60),ROW()-1,FALSE))</f>
        <v/>
      </c>
      <c r="BA119" t="str">
        <f ca="1">IF(AND(ISNUMBER($BA$316),$B$185=1),$BA$316,HLOOKUP(INDIRECT(ADDRESS(2,COLUMN())),OFFSET($BN$2,0,0,ROW()-1,60),ROW()-1,FALSE))</f>
        <v/>
      </c>
      <c r="BB119" t="str">
        <f ca="1">IF(AND(ISNUMBER($BB$316),$B$185=1),$BB$316,HLOOKUP(INDIRECT(ADDRESS(2,COLUMN())),OFFSET($BN$2,0,0,ROW()-1,60),ROW()-1,FALSE))</f>
        <v/>
      </c>
      <c r="BC119" t="str">
        <f ca="1">IF(AND(ISNUMBER($BC$316),$B$185=1),$BC$316,HLOOKUP(INDIRECT(ADDRESS(2,COLUMN())),OFFSET($BN$2,0,0,ROW()-1,60),ROW()-1,FALSE))</f>
        <v/>
      </c>
      <c r="BD119" t="str">
        <f ca="1">IF(AND(ISNUMBER($BD$316),$B$185=1),$BD$316,HLOOKUP(INDIRECT(ADDRESS(2,COLUMN())),OFFSET($BN$2,0,0,ROW()-1,60),ROW()-1,FALSE))</f>
        <v/>
      </c>
      <c r="BE119" t="str">
        <f ca="1">IF(AND(ISNUMBER($BE$316),$B$185=1),$BE$316,HLOOKUP(INDIRECT(ADDRESS(2,COLUMN())),OFFSET($BN$2,0,0,ROW()-1,60),ROW()-1,FALSE))</f>
        <v/>
      </c>
      <c r="BF119" t="str">
        <f ca="1">IF(AND(ISNUMBER($BF$316),$B$185=1),$BF$316,HLOOKUP(INDIRECT(ADDRESS(2,COLUMN())),OFFSET($BN$2,0,0,ROW()-1,60),ROW()-1,FALSE))</f>
        <v/>
      </c>
      <c r="BG119" t="str">
        <f ca="1">IF(AND(ISNUMBER($BG$316),$B$185=1),$BG$316,HLOOKUP(INDIRECT(ADDRESS(2,COLUMN())),OFFSET($BN$2,0,0,ROW()-1,60),ROW()-1,FALSE))</f>
        <v/>
      </c>
      <c r="BH119" t="str">
        <f ca="1">IF(AND(ISNUMBER($BH$316),$B$185=1),$BH$316,HLOOKUP(INDIRECT(ADDRESS(2,COLUMN())),OFFSET($BN$2,0,0,ROW()-1,60),ROW()-1,FALSE))</f>
        <v/>
      </c>
      <c r="BI119" t="str">
        <f ca="1">IF(AND(ISNUMBER($BI$316),$B$185=1),$BI$316,HLOOKUP(INDIRECT(ADDRESS(2,COLUMN())),OFFSET($BN$2,0,0,ROW()-1,60),ROW()-1,FALSE))</f>
        <v/>
      </c>
      <c r="BJ119" t="str">
        <f ca="1">IF(AND(ISNUMBER($BJ$316),$B$185=1),$BJ$316,HLOOKUP(INDIRECT(ADDRESS(2,COLUMN())),OFFSET($BN$2,0,0,ROW()-1,60),ROW()-1,FALSE))</f>
        <v/>
      </c>
      <c r="BK119" t="str">
        <f ca="1">IF(AND(ISNUMBER($BK$316),$B$185=1),$BK$316,HLOOKUP(INDIRECT(ADDRESS(2,COLUMN())),OFFSET($BN$2,0,0,ROW()-1,60),ROW()-1,FALSE))</f>
        <v/>
      </c>
      <c r="BL119" t="str">
        <f ca="1">IF(AND(ISNUMBER($BL$316),$B$185=1),$BL$316,HLOOKUP(INDIRECT(ADDRESS(2,COLUMN())),OFFSET($BN$2,0,0,ROW()-1,60),ROW()-1,FALSE))</f>
        <v/>
      </c>
      <c r="BM119" t="str">
        <f ca="1">IF(AND(ISNUMBER($BM$316),$B$185=1),$BM$316,HLOOKUP(INDIRECT(ADDRESS(2,COLUMN())),OFFSET($BN$2,0,0,ROW()-1,60),ROW()-1,FALSE))</f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>
      <c r="A120" t="str">
        <f>"    SVB Financial Group"</f>
        <v xml:space="preserve">    SVB Financial Group</v>
      </c>
      <c r="B120" t="str">
        <f>"SIVBQ US Equity"</f>
        <v>SIVBQ US Equity</v>
      </c>
      <c r="C120" t="str">
        <f t="shared" si="13"/>
        <v>BS960</v>
      </c>
      <c r="D120" t="str">
        <f t="shared" si="14"/>
        <v>BS_RESIDENT_MTG_SERVICED_OTHERS</v>
      </c>
      <c r="E120" t="str">
        <f t="shared" si="15"/>
        <v>Dynamic</v>
      </c>
      <c r="F120" t="str">
        <f ca="1">IF(AND(ISNUMBER($F$317),$B$185=1),$F$317,HLOOKUP(INDIRECT(ADDRESS(2,COLUMN())),OFFSET($BN$2,0,0,ROW()-1,60),ROW()-1,FALSE))</f>
        <v/>
      </c>
      <c r="G120" t="str">
        <f ca="1">IF(AND(ISNUMBER($G$317),$B$185=1),$G$317,HLOOKUP(INDIRECT(ADDRESS(2,COLUMN())),OFFSET($BN$2,0,0,ROW()-1,60),ROW()-1,FALSE))</f>
        <v/>
      </c>
      <c r="H120" t="str">
        <f ca="1">IF(AND(ISNUMBER($H$317),$B$185=1),$H$317,HLOOKUP(INDIRECT(ADDRESS(2,COLUMN())),OFFSET($BN$2,0,0,ROW()-1,60),ROW()-1,FALSE))</f>
        <v/>
      </c>
      <c r="I120" t="str">
        <f ca="1">IF(AND(ISNUMBER($I$317),$B$185=1),$I$317,HLOOKUP(INDIRECT(ADDRESS(2,COLUMN())),OFFSET($BN$2,0,0,ROW()-1,60),ROW()-1,FALSE))</f>
        <v/>
      </c>
      <c r="J120" t="str">
        <f ca="1">IF(AND(ISNUMBER($J$317),$B$185=1),$J$317,HLOOKUP(INDIRECT(ADDRESS(2,COLUMN())),OFFSET($BN$2,0,0,ROW()-1,60),ROW()-1,FALSE))</f>
        <v/>
      </c>
      <c r="K120" t="str">
        <f ca="1">IF(AND(ISNUMBER($K$317),$B$185=1),$K$317,HLOOKUP(INDIRECT(ADDRESS(2,COLUMN())),OFFSET($BN$2,0,0,ROW()-1,60),ROW()-1,FALSE))</f>
        <v/>
      </c>
      <c r="L120" t="str">
        <f ca="1">IF(AND(ISNUMBER($L$317),$B$185=1),$L$317,HLOOKUP(INDIRECT(ADDRESS(2,COLUMN())),OFFSET($BN$2,0,0,ROW()-1,60),ROW()-1,FALSE))</f>
        <v/>
      </c>
      <c r="M120" t="str">
        <f ca="1">IF(AND(ISNUMBER($M$317),$B$185=1),$M$317,HLOOKUP(INDIRECT(ADDRESS(2,COLUMN())),OFFSET($BN$2,0,0,ROW()-1,60),ROW()-1,FALSE))</f>
        <v/>
      </c>
      <c r="N120" t="str">
        <f ca="1">IF(AND(ISNUMBER($N$317),$B$185=1),$N$317,HLOOKUP(INDIRECT(ADDRESS(2,COLUMN())),OFFSET($BN$2,0,0,ROW()-1,60),ROW()-1,FALSE))</f>
        <v/>
      </c>
      <c r="O120" t="str">
        <f ca="1">IF(AND(ISNUMBER($O$317),$B$185=1),$O$317,HLOOKUP(INDIRECT(ADDRESS(2,COLUMN())),OFFSET($BN$2,0,0,ROW()-1,60),ROW()-1,FALSE))</f>
        <v/>
      </c>
      <c r="P120" t="str">
        <f ca="1">IF(AND(ISNUMBER($P$317),$B$185=1),$P$317,HLOOKUP(INDIRECT(ADDRESS(2,COLUMN())),OFFSET($BN$2,0,0,ROW()-1,60),ROW()-1,FALSE))</f>
        <v/>
      </c>
      <c r="Q120" t="str">
        <f ca="1">IF(AND(ISNUMBER($Q$317),$B$185=1),$Q$317,HLOOKUP(INDIRECT(ADDRESS(2,COLUMN())),OFFSET($BN$2,0,0,ROW()-1,60),ROW()-1,FALSE))</f>
        <v/>
      </c>
      <c r="R120" t="str">
        <f ca="1">IF(AND(ISNUMBER($R$317),$B$185=1),$R$317,HLOOKUP(INDIRECT(ADDRESS(2,COLUMN())),OFFSET($BN$2,0,0,ROW()-1,60),ROW()-1,FALSE))</f>
        <v/>
      </c>
      <c r="S120" t="str">
        <f ca="1">IF(AND(ISNUMBER($S$317),$B$185=1),$S$317,HLOOKUP(INDIRECT(ADDRESS(2,COLUMN())),OFFSET($BN$2,0,0,ROW()-1,60),ROW()-1,FALSE))</f>
        <v/>
      </c>
      <c r="T120" t="str">
        <f ca="1">IF(AND(ISNUMBER($T$317),$B$185=1),$T$317,HLOOKUP(INDIRECT(ADDRESS(2,COLUMN())),OFFSET($BN$2,0,0,ROW()-1,60),ROW()-1,FALSE))</f>
        <v/>
      </c>
      <c r="U120" t="str">
        <f ca="1">IF(AND(ISNUMBER($U$317),$B$185=1),$U$317,HLOOKUP(INDIRECT(ADDRESS(2,COLUMN())),OFFSET($BN$2,0,0,ROW()-1,60),ROW()-1,FALSE))</f>
        <v/>
      </c>
      <c r="V120" t="str">
        <f ca="1">IF(AND(ISNUMBER($V$317),$B$185=1),$V$317,HLOOKUP(INDIRECT(ADDRESS(2,COLUMN())),OFFSET($BN$2,0,0,ROW()-1,60),ROW()-1,FALSE))</f>
        <v/>
      </c>
      <c r="W120" t="str">
        <f ca="1">IF(AND(ISNUMBER($W$317),$B$185=1),$W$317,HLOOKUP(INDIRECT(ADDRESS(2,COLUMN())),OFFSET($BN$2,0,0,ROW()-1,60),ROW()-1,FALSE))</f>
        <v/>
      </c>
      <c r="X120" t="str">
        <f ca="1">IF(AND(ISNUMBER($X$317),$B$185=1),$X$317,HLOOKUP(INDIRECT(ADDRESS(2,COLUMN())),OFFSET($BN$2,0,0,ROW()-1,60),ROW()-1,FALSE))</f>
        <v/>
      </c>
      <c r="Y120" t="str">
        <f ca="1">IF(AND(ISNUMBER($Y$317),$B$185=1),$Y$317,HLOOKUP(INDIRECT(ADDRESS(2,COLUMN())),OFFSET($BN$2,0,0,ROW()-1,60),ROW()-1,FALSE))</f>
        <v/>
      </c>
      <c r="Z120" t="str">
        <f ca="1">IF(AND(ISNUMBER($Z$317),$B$185=1),$Z$317,HLOOKUP(INDIRECT(ADDRESS(2,COLUMN())),OFFSET($BN$2,0,0,ROW()-1,60),ROW()-1,FALSE))</f>
        <v/>
      </c>
      <c r="AA120" t="str">
        <f ca="1">IF(AND(ISNUMBER($AA$317),$B$185=1),$AA$317,HLOOKUP(INDIRECT(ADDRESS(2,COLUMN())),OFFSET($BN$2,0,0,ROW()-1,60),ROW()-1,FALSE))</f>
        <v/>
      </c>
      <c r="AB120" t="str">
        <f ca="1">IF(AND(ISNUMBER($AB$317),$B$185=1),$AB$317,HLOOKUP(INDIRECT(ADDRESS(2,COLUMN())),OFFSET($BN$2,0,0,ROW()-1,60),ROW()-1,FALSE))</f>
        <v/>
      </c>
      <c r="AC120" t="str">
        <f ca="1">IF(AND(ISNUMBER($AC$317),$B$185=1),$AC$317,HLOOKUP(INDIRECT(ADDRESS(2,COLUMN())),OFFSET($BN$2,0,0,ROW()-1,60),ROW()-1,FALSE))</f>
        <v/>
      </c>
      <c r="AD120" t="str">
        <f ca="1">IF(AND(ISNUMBER($AD$317),$B$185=1),$AD$317,HLOOKUP(INDIRECT(ADDRESS(2,COLUMN())),OFFSET($BN$2,0,0,ROW()-1,60),ROW()-1,FALSE))</f>
        <v/>
      </c>
      <c r="AE120" t="str">
        <f ca="1">IF(AND(ISNUMBER($AE$317),$B$185=1),$AE$317,HLOOKUP(INDIRECT(ADDRESS(2,COLUMN())),OFFSET($BN$2,0,0,ROW()-1,60),ROW()-1,FALSE))</f>
        <v/>
      </c>
      <c r="AF120" t="str">
        <f ca="1">IF(AND(ISNUMBER($AF$317),$B$185=1),$AF$317,HLOOKUP(INDIRECT(ADDRESS(2,COLUMN())),OFFSET($BN$2,0,0,ROW()-1,60),ROW()-1,FALSE))</f>
        <v/>
      </c>
      <c r="AG120" t="str">
        <f ca="1">IF(AND(ISNUMBER($AG$317),$B$185=1),$AG$317,HLOOKUP(INDIRECT(ADDRESS(2,COLUMN())),OFFSET($BN$2,0,0,ROW()-1,60),ROW()-1,FALSE))</f>
        <v/>
      </c>
      <c r="AH120" t="str">
        <f ca="1">IF(AND(ISNUMBER($AH$317),$B$185=1),$AH$317,HLOOKUP(INDIRECT(ADDRESS(2,COLUMN())),OFFSET($BN$2,0,0,ROW()-1,60),ROW()-1,FALSE))</f>
        <v/>
      </c>
      <c r="AI120" t="str">
        <f ca="1">IF(AND(ISNUMBER($AI$317),$B$185=1),$AI$317,HLOOKUP(INDIRECT(ADDRESS(2,COLUMN())),OFFSET($BN$2,0,0,ROW()-1,60),ROW()-1,FALSE))</f>
        <v/>
      </c>
      <c r="AJ120" t="str">
        <f ca="1">IF(AND(ISNUMBER($AJ$317),$B$185=1),$AJ$317,HLOOKUP(INDIRECT(ADDRESS(2,COLUMN())),OFFSET($BN$2,0,0,ROW()-1,60),ROW()-1,FALSE))</f>
        <v/>
      </c>
      <c r="AK120" t="str">
        <f ca="1">IF(AND(ISNUMBER($AK$317),$B$185=1),$AK$317,HLOOKUP(INDIRECT(ADDRESS(2,COLUMN())),OFFSET($BN$2,0,0,ROW()-1,60),ROW()-1,FALSE))</f>
        <v/>
      </c>
      <c r="AL120" t="str">
        <f ca="1">IF(AND(ISNUMBER($AL$317),$B$185=1),$AL$317,HLOOKUP(INDIRECT(ADDRESS(2,COLUMN())),OFFSET($BN$2,0,0,ROW()-1,60),ROW()-1,FALSE))</f>
        <v/>
      </c>
      <c r="AM120" t="str">
        <f ca="1">IF(AND(ISNUMBER($AM$317),$B$185=1),$AM$317,HLOOKUP(INDIRECT(ADDRESS(2,COLUMN())),OFFSET($BN$2,0,0,ROW()-1,60),ROW()-1,FALSE))</f>
        <v/>
      </c>
      <c r="AN120" t="str">
        <f ca="1">IF(AND(ISNUMBER($AN$317),$B$185=1),$AN$317,HLOOKUP(INDIRECT(ADDRESS(2,COLUMN())),OFFSET($BN$2,0,0,ROW()-1,60),ROW()-1,FALSE))</f>
        <v/>
      </c>
      <c r="AO120" t="str">
        <f ca="1">IF(AND(ISNUMBER($AO$317),$B$185=1),$AO$317,HLOOKUP(INDIRECT(ADDRESS(2,COLUMN())),OFFSET($BN$2,0,0,ROW()-1,60),ROW()-1,FALSE))</f>
        <v/>
      </c>
      <c r="AP120" t="str">
        <f ca="1">IF(AND(ISNUMBER($AP$317),$B$185=1),$AP$317,HLOOKUP(INDIRECT(ADDRESS(2,COLUMN())),OFFSET($BN$2,0,0,ROW()-1,60),ROW()-1,FALSE))</f>
        <v/>
      </c>
      <c r="AQ120" t="str">
        <f ca="1">IF(AND(ISNUMBER($AQ$317),$B$185=1),$AQ$317,HLOOKUP(INDIRECT(ADDRESS(2,COLUMN())),OFFSET($BN$2,0,0,ROW()-1,60),ROW()-1,FALSE))</f>
        <v/>
      </c>
      <c r="AR120" t="str">
        <f ca="1">IF(AND(ISNUMBER($AR$317),$B$185=1),$AR$317,HLOOKUP(INDIRECT(ADDRESS(2,COLUMN())),OFFSET($BN$2,0,0,ROW()-1,60),ROW()-1,FALSE))</f>
        <v/>
      </c>
      <c r="AS120" t="str">
        <f ca="1">IF(AND(ISNUMBER($AS$317),$B$185=1),$AS$317,HLOOKUP(INDIRECT(ADDRESS(2,COLUMN())),OFFSET($BN$2,0,0,ROW()-1,60),ROW()-1,FALSE))</f>
        <v/>
      </c>
      <c r="AT120" t="str">
        <f ca="1">IF(AND(ISNUMBER($AT$317),$B$185=1),$AT$317,HLOOKUP(INDIRECT(ADDRESS(2,COLUMN())),OFFSET($BN$2,0,0,ROW()-1,60),ROW()-1,FALSE))</f>
        <v/>
      </c>
      <c r="AU120" t="str">
        <f ca="1">IF(AND(ISNUMBER($AU$317),$B$185=1),$AU$317,HLOOKUP(INDIRECT(ADDRESS(2,COLUMN())),OFFSET($BN$2,0,0,ROW()-1,60),ROW()-1,FALSE))</f>
        <v/>
      </c>
      <c r="AV120" t="str">
        <f ca="1">IF(AND(ISNUMBER($AV$317),$B$185=1),$AV$317,HLOOKUP(INDIRECT(ADDRESS(2,COLUMN())),OFFSET($BN$2,0,0,ROW()-1,60),ROW()-1,FALSE))</f>
        <v/>
      </c>
      <c r="AW120" t="str">
        <f ca="1">IF(AND(ISNUMBER($AW$317),$B$185=1),$AW$317,HLOOKUP(INDIRECT(ADDRESS(2,COLUMN())),OFFSET($BN$2,0,0,ROW()-1,60),ROW()-1,FALSE))</f>
        <v/>
      </c>
      <c r="AX120" t="str">
        <f ca="1">IF(AND(ISNUMBER($AX$317),$B$185=1),$AX$317,HLOOKUP(INDIRECT(ADDRESS(2,COLUMN())),OFFSET($BN$2,0,0,ROW()-1,60),ROW()-1,FALSE))</f>
        <v/>
      </c>
      <c r="AY120" t="str">
        <f ca="1">IF(AND(ISNUMBER($AY$317),$B$185=1),$AY$317,HLOOKUP(INDIRECT(ADDRESS(2,COLUMN())),OFFSET($BN$2,0,0,ROW()-1,60),ROW()-1,FALSE))</f>
        <v/>
      </c>
      <c r="AZ120" t="str">
        <f ca="1">IF(AND(ISNUMBER($AZ$317),$B$185=1),$AZ$317,HLOOKUP(INDIRECT(ADDRESS(2,COLUMN())),OFFSET($BN$2,0,0,ROW()-1,60),ROW()-1,FALSE))</f>
        <v/>
      </c>
      <c r="BA120" t="str">
        <f ca="1">IF(AND(ISNUMBER($BA$317),$B$185=1),$BA$317,HLOOKUP(INDIRECT(ADDRESS(2,COLUMN())),OFFSET($BN$2,0,0,ROW()-1,60),ROW()-1,FALSE))</f>
        <v/>
      </c>
      <c r="BB120" t="str">
        <f ca="1">IF(AND(ISNUMBER($BB$317),$B$185=1),$BB$317,HLOOKUP(INDIRECT(ADDRESS(2,COLUMN())),OFFSET($BN$2,0,0,ROW()-1,60),ROW()-1,FALSE))</f>
        <v/>
      </c>
      <c r="BC120" t="str">
        <f ca="1">IF(AND(ISNUMBER($BC$317),$B$185=1),$BC$317,HLOOKUP(INDIRECT(ADDRESS(2,COLUMN())),OFFSET($BN$2,0,0,ROW()-1,60),ROW()-1,FALSE))</f>
        <v/>
      </c>
      <c r="BD120" t="str">
        <f ca="1">IF(AND(ISNUMBER($BD$317),$B$185=1),$BD$317,HLOOKUP(INDIRECT(ADDRESS(2,COLUMN())),OFFSET($BN$2,0,0,ROW()-1,60),ROW()-1,FALSE))</f>
        <v/>
      </c>
      <c r="BE120" t="str">
        <f ca="1">IF(AND(ISNUMBER($BE$317),$B$185=1),$BE$317,HLOOKUP(INDIRECT(ADDRESS(2,COLUMN())),OFFSET($BN$2,0,0,ROW()-1,60),ROW()-1,FALSE))</f>
        <v/>
      </c>
      <c r="BF120" t="str">
        <f ca="1">IF(AND(ISNUMBER($BF$317),$B$185=1),$BF$317,HLOOKUP(INDIRECT(ADDRESS(2,COLUMN())),OFFSET($BN$2,0,0,ROW()-1,60),ROW()-1,FALSE))</f>
        <v/>
      </c>
      <c r="BG120" t="str">
        <f ca="1">IF(AND(ISNUMBER($BG$317),$B$185=1),$BG$317,HLOOKUP(INDIRECT(ADDRESS(2,COLUMN())),OFFSET($BN$2,0,0,ROW()-1,60),ROW()-1,FALSE))</f>
        <v/>
      </c>
      <c r="BH120" t="str">
        <f ca="1">IF(AND(ISNUMBER($BH$317),$B$185=1),$BH$317,HLOOKUP(INDIRECT(ADDRESS(2,COLUMN())),OFFSET($BN$2,0,0,ROW()-1,60),ROW()-1,FALSE))</f>
        <v/>
      </c>
      <c r="BI120" t="str">
        <f ca="1">IF(AND(ISNUMBER($BI$317),$B$185=1),$BI$317,HLOOKUP(INDIRECT(ADDRESS(2,COLUMN())),OFFSET($BN$2,0,0,ROW()-1,60),ROW()-1,FALSE))</f>
        <v/>
      </c>
      <c r="BJ120" t="str">
        <f ca="1">IF(AND(ISNUMBER($BJ$317),$B$185=1),$BJ$317,HLOOKUP(INDIRECT(ADDRESS(2,COLUMN())),OFFSET($BN$2,0,0,ROW()-1,60),ROW()-1,FALSE))</f>
        <v/>
      </c>
      <c r="BK120" t="str">
        <f ca="1">IF(AND(ISNUMBER($BK$317),$B$185=1),$BK$317,HLOOKUP(INDIRECT(ADDRESS(2,COLUMN())),OFFSET($BN$2,0,0,ROW()-1,60),ROW()-1,FALSE))</f>
        <v/>
      </c>
      <c r="BL120" t="str">
        <f ca="1">IF(AND(ISNUMBER($BL$317),$B$185=1),$BL$317,HLOOKUP(INDIRECT(ADDRESS(2,COLUMN())),OFFSET($BN$2,0,0,ROW()-1,60),ROW()-1,FALSE))</f>
        <v/>
      </c>
      <c r="BM120" t="str">
        <f ca="1">IF(AND(ISNUMBER($BM$317),$B$185=1),$BM$317,HLOOKUP(INDIRECT(ADDRESS(2,COLUMN())),OFFSET($BN$2,0,0,ROW()-1,60),ROW()-1,FALSE))</f>
        <v/>
      </c>
      <c r="BN120" t="str">
        <f>""</f>
        <v/>
      </c>
      <c r="BO120" t="str">
        <f>""</f>
        <v/>
      </c>
      <c r="BP120" t="str">
        <f>""</f>
        <v/>
      </c>
      <c r="BQ120" t="str">
        <f>""</f>
        <v/>
      </c>
      <c r="BR120" t="str">
        <f>""</f>
        <v/>
      </c>
      <c r="BS120" t="str">
        <f>""</f>
        <v/>
      </c>
      <c r="BT120" t="str">
        <f>""</f>
        <v/>
      </c>
      <c r="BU120" t="str">
        <f>""</f>
        <v/>
      </c>
      <c r="BV120" t="str">
        <f>""</f>
        <v/>
      </c>
      <c r="BW120" t="str">
        <f>""</f>
        <v/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  <c r="CH120" t="str">
        <f>""</f>
        <v/>
      </c>
      <c r="CI120" t="str">
        <f>""</f>
        <v/>
      </c>
      <c r="CJ120" t="str">
        <f>""</f>
        <v/>
      </c>
      <c r="CK120" t="str">
        <f>""</f>
        <v/>
      </c>
      <c r="CL120" t="str">
        <f>""</f>
        <v/>
      </c>
      <c r="CM120" t="str">
        <f>""</f>
        <v/>
      </c>
      <c r="CN120" t="str">
        <f>""</f>
        <v/>
      </c>
      <c r="CO120" t="str">
        <f>""</f>
        <v/>
      </c>
      <c r="CP120" t="str">
        <f>""</f>
        <v/>
      </c>
      <c r="CQ120" t="str">
        <f>""</f>
        <v/>
      </c>
      <c r="CR120" t="str">
        <f>""</f>
        <v/>
      </c>
      <c r="CS120" t="str">
        <f>""</f>
        <v/>
      </c>
      <c r="CT120" t="str">
        <f>""</f>
        <v/>
      </c>
      <c r="CU120" t="str">
        <f>""</f>
        <v/>
      </c>
      <c r="CV120" t="str">
        <f>""</f>
        <v/>
      </c>
      <c r="CW120" t="str">
        <f>""</f>
        <v/>
      </c>
      <c r="CX120" t="str">
        <f>""</f>
        <v/>
      </c>
      <c r="CY120" t="str">
        <f>""</f>
        <v/>
      </c>
      <c r="CZ120" t="str">
        <f>""</f>
        <v/>
      </c>
      <c r="DA120" t="str">
        <f>""</f>
        <v/>
      </c>
      <c r="DB120" t="str">
        <f>""</f>
        <v/>
      </c>
      <c r="DC120" t="str">
        <f>""</f>
        <v/>
      </c>
      <c r="DD120" t="str">
        <f>""</f>
        <v/>
      </c>
      <c r="DE120" t="str">
        <f>""</f>
        <v/>
      </c>
      <c r="DF120" t="str">
        <f>""</f>
        <v/>
      </c>
      <c r="DG120" t="str">
        <f>""</f>
        <v/>
      </c>
      <c r="DH120" t="str">
        <f>""</f>
        <v/>
      </c>
      <c r="DI120" t="str">
        <f>""</f>
        <v/>
      </c>
      <c r="DJ120" t="str">
        <f>""</f>
        <v/>
      </c>
      <c r="DK120" t="str">
        <f>""</f>
        <v/>
      </c>
      <c r="DL120" t="str">
        <f>""</f>
        <v/>
      </c>
      <c r="DM120" t="str">
        <f>""</f>
        <v/>
      </c>
      <c r="DN120" t="str">
        <f>""</f>
        <v/>
      </c>
      <c r="DO120" t="str">
        <f>""</f>
        <v/>
      </c>
      <c r="DP120" t="str">
        <f>""</f>
        <v/>
      </c>
      <c r="DQ120" t="str">
        <f>""</f>
        <v/>
      </c>
      <c r="DR120" t="str">
        <f>""</f>
        <v/>
      </c>
      <c r="DS120" t="str">
        <f>""</f>
        <v/>
      </c>
      <c r="DT120" t="str">
        <f>""</f>
        <v/>
      </c>
      <c r="DU120" t="str">
        <f>""</f>
        <v/>
      </c>
    </row>
    <row r="121" spans="1:125">
      <c r="A121" t="str">
        <f>"    Truist Financial Corp"</f>
        <v xml:space="preserve">    Truist Financial Corp</v>
      </c>
      <c r="B121" t="str">
        <f>"TFC US Equity"</f>
        <v>TFC US Equity</v>
      </c>
      <c r="C121" t="str">
        <f t="shared" si="13"/>
        <v>BS960</v>
      </c>
      <c r="D121" t="str">
        <f t="shared" si="14"/>
        <v>BS_RESIDENT_MTG_SERVICED_OTHERS</v>
      </c>
      <c r="E121" t="str">
        <f t="shared" si="15"/>
        <v>Dynamic</v>
      </c>
      <c r="F121">
        <f ca="1">IF(AND(ISNUMBER($F$318),$B$185=1),$F$318,HLOOKUP(INDIRECT(ADDRESS(2,COLUMN())),OFFSET($BN$2,0,0,ROW()-1,60),ROW()-1,FALSE))</f>
        <v>218475</v>
      </c>
      <c r="G121">
        <f ca="1">IF(AND(ISNUMBER($G$318),$B$185=1),$G$318,HLOOKUP(INDIRECT(ADDRESS(2,COLUMN())),OFFSET($BN$2,0,0,ROW()-1,60),ROW()-1,FALSE))</f>
        <v>221143</v>
      </c>
      <c r="H121">
        <f ca="1">IF(AND(ISNUMBER($H$318),$B$185=1),$H$318,HLOOKUP(INDIRECT(ADDRESS(2,COLUMN())),OFFSET($BN$2,0,0,ROW()-1,60),ROW()-1,FALSE))</f>
        <v>208270</v>
      </c>
      <c r="I121">
        <f ca="1">IF(AND(ISNUMBER($I$318),$B$185=1),$I$318,HLOOKUP(INDIRECT(ADDRESS(2,COLUMN())),OFFSET($BN$2,0,0,ROW()-1,60),ROW()-1,FALSE))</f>
        <v>210635</v>
      </c>
      <c r="J121">
        <f ca="1">IF(AND(ISNUMBER($J$318),$B$185=1),$J$318,HLOOKUP(INDIRECT(ADDRESS(2,COLUMN())),OFFSET($BN$2,0,0,ROW()-1,60),ROW()-1,FALSE))</f>
        <v>213399</v>
      </c>
      <c r="K121">
        <f ca="1">IF(AND(ISNUMBER($K$318),$B$185=1),$K$318,HLOOKUP(INDIRECT(ADDRESS(2,COLUMN())),OFFSET($BN$2,0,0,ROW()-1,60),ROW()-1,FALSE))</f>
        <v>214953</v>
      </c>
      <c r="L121">
        <f ca="1">IF(AND(ISNUMBER($L$318),$B$185=1),$L$318,HLOOKUP(INDIRECT(ADDRESS(2,COLUMN())),OFFSET($BN$2,0,0,ROW()-1,60),ROW()-1,FALSE))</f>
        <v>222917</v>
      </c>
      <c r="M121">
        <f ca="1">IF(AND(ISNUMBER($M$318),$B$185=1),$M$318,HLOOKUP(INDIRECT(ADDRESS(2,COLUMN())),OFFSET($BN$2,0,0,ROW()-1,60),ROW()-1,FALSE))</f>
        <v>214830</v>
      </c>
      <c r="N121">
        <f ca="1">IF(AND(ISNUMBER($N$318),$B$185=1),$N$318,HLOOKUP(INDIRECT(ADDRESS(2,COLUMN())),OFFSET($BN$2,0,0,ROW()-1,60),ROW()-1,FALSE))</f>
        <v>217046</v>
      </c>
      <c r="O121">
        <f ca="1">IF(AND(ISNUMBER($O$318),$B$185=1),$O$318,HLOOKUP(INDIRECT(ADDRESS(2,COLUMN())),OFFSET($BN$2,0,0,ROW()-1,60),ROW()-1,FALSE))</f>
        <v>218740</v>
      </c>
      <c r="P121">
        <f ca="1">IF(AND(ISNUMBER($P$318),$B$185=1),$P$318,HLOOKUP(INDIRECT(ADDRESS(2,COLUMN())),OFFSET($BN$2,0,0,ROW()-1,60),ROW()-1,FALSE))</f>
        <v>209504</v>
      </c>
      <c r="Q121">
        <f ca="1">IF(AND(ISNUMBER($Q$318),$B$185=1),$Q$318,HLOOKUP(INDIRECT(ADDRESS(2,COLUMN())),OFFSET($BN$2,0,0,ROW()-1,60),ROW()-1,FALSE))</f>
        <v>195737</v>
      </c>
      <c r="R121">
        <f ca="1">IF(AND(ISNUMBER($R$318),$B$185=1),$R$318,HLOOKUP(INDIRECT(ADDRESS(2,COLUMN())),OFFSET($BN$2,0,0,ROW()-1,60),ROW()-1,FALSE))</f>
        <v>196011</v>
      </c>
      <c r="S121">
        <f ca="1">IF(AND(ISNUMBER($S$318),$B$185=1),$S$318,HLOOKUP(INDIRECT(ADDRESS(2,COLUMN())),OFFSET($BN$2,0,0,ROW()-1,60),ROW()-1,FALSE))</f>
        <v>198119</v>
      </c>
      <c r="T121">
        <f ca="1">IF(AND(ISNUMBER($T$318),$B$185=1),$T$318,HLOOKUP(INDIRECT(ADDRESS(2,COLUMN())),OFFSET($BN$2,0,0,ROW()-1,60),ROW()-1,FALSE))</f>
        <v>178004</v>
      </c>
      <c r="U121">
        <f ca="1">IF(AND(ISNUMBER($U$318),$B$185=1),$U$318,HLOOKUP(INDIRECT(ADDRESS(2,COLUMN())),OFFSET($BN$2,0,0,ROW()-1,60),ROW()-1,FALSE))</f>
        <v>179836</v>
      </c>
      <c r="V121">
        <f ca="1">IF(AND(ISNUMBER($V$318),$B$185=1),$V$318,HLOOKUP(INDIRECT(ADDRESS(2,COLUMN())),OFFSET($BN$2,0,0,ROW()-1,60),ROW()-1,FALSE))</f>
        <v>188341</v>
      </c>
      <c r="W121">
        <f ca="1">IF(AND(ISNUMBER($W$318),$B$185=1),$W$318,HLOOKUP(INDIRECT(ADDRESS(2,COLUMN())),OFFSET($BN$2,0,0,ROW()-1,60),ROW()-1,FALSE))</f>
        <v>198881</v>
      </c>
      <c r="X121">
        <f ca="1">IF(AND(ISNUMBER($X$318),$B$185=1),$X$318,HLOOKUP(INDIRECT(ADDRESS(2,COLUMN())),OFFSET($BN$2,0,0,ROW()-1,60),ROW()-1,FALSE))</f>
        <v>209070</v>
      </c>
      <c r="Y121">
        <f ca="1">IF(AND(ISNUMBER($Y$318),$B$185=1),$Y$318,HLOOKUP(INDIRECT(ADDRESS(2,COLUMN())),OFFSET($BN$2,0,0,ROW()-1,60),ROW()-1,FALSE))</f>
        <v>219979</v>
      </c>
      <c r="Z121">
        <f ca="1">IF(AND(ISNUMBER($Z$318),$B$185=1),$Z$318,HLOOKUP(INDIRECT(ADDRESS(2,COLUMN())),OFFSET($BN$2,0,0,ROW()-1,60),ROW()-1,FALSE))</f>
        <v>219347</v>
      </c>
      <c r="AA121">
        <f ca="1">IF(AND(ISNUMBER($AA$318),$B$185=1),$AA$318,HLOOKUP(INDIRECT(ADDRESS(2,COLUMN())),OFFSET($BN$2,0,0,ROW()-1,60),ROW()-1,FALSE))</f>
        <v>87147</v>
      </c>
      <c r="AB121">
        <f ca="1">IF(AND(ISNUMBER($AB$318),$B$185=1),$AB$318,HLOOKUP(INDIRECT(ADDRESS(2,COLUMN())),OFFSET($BN$2,0,0,ROW()-1,60),ROW()-1,FALSE))</f>
        <v>85060</v>
      </c>
      <c r="AC121">
        <f ca="1">IF(AND(ISNUMBER($AC$318),$B$185=1),$AC$318,HLOOKUP(INDIRECT(ADDRESS(2,COLUMN())),OFFSET($BN$2,0,0,ROW()-1,60),ROW()-1,FALSE))</f>
        <v>86119</v>
      </c>
      <c r="AD121">
        <f ca="1">IF(AND(ISNUMBER($AD$318),$B$185=1),$AD$318,HLOOKUP(INDIRECT(ADDRESS(2,COLUMN())),OFFSET($BN$2,0,0,ROW()-1,60),ROW()-1,FALSE))</f>
        <v>87270</v>
      </c>
      <c r="AE121">
        <f ca="1">IF(AND(ISNUMBER($AE$318),$B$185=1),$AE$318,HLOOKUP(INDIRECT(ADDRESS(2,COLUMN())),OFFSET($BN$2,0,0,ROW()-1,60),ROW()-1,FALSE))</f>
        <v>88323</v>
      </c>
      <c r="AF121">
        <f ca="1">IF(AND(ISNUMBER($AF$318),$B$185=1),$AF$318,HLOOKUP(INDIRECT(ADDRESS(2,COLUMN())),OFFSET($BN$2,0,0,ROW()-1,60),ROW()-1,FALSE))</f>
        <v>88492</v>
      </c>
      <c r="AG121">
        <f ca="1">IF(AND(ISNUMBER($AG$318),$B$185=1),$AG$318,HLOOKUP(INDIRECT(ADDRESS(2,COLUMN())),OFFSET($BN$2,0,0,ROW()-1,60),ROW()-1,FALSE))</f>
        <v>88746</v>
      </c>
      <c r="AH121">
        <f ca="1">IF(AND(ISNUMBER($AH$318),$B$185=1),$AH$318,HLOOKUP(INDIRECT(ADDRESS(2,COLUMN())),OFFSET($BN$2,0,0,ROW()-1,60),ROW()-1,FALSE))</f>
        <v>89124</v>
      </c>
      <c r="AI121">
        <f ca="1">IF(AND(ISNUMBER($AI$318),$B$185=1),$AI$318,HLOOKUP(INDIRECT(ADDRESS(2,COLUMN())),OFFSET($BN$2,0,0,ROW()-1,60),ROW()-1,FALSE))</f>
        <v>89391</v>
      </c>
      <c r="AJ121">
        <f ca="1">IF(AND(ISNUMBER($AJ$318),$B$185=1),$AJ$318,HLOOKUP(INDIRECT(ADDRESS(2,COLUMN())),OFFSET($BN$2,0,0,ROW()-1,60),ROW()-1,FALSE))</f>
        <v>90106</v>
      </c>
      <c r="AK121">
        <f ca="1">IF(AND(ISNUMBER($AK$318),$B$185=1),$AK$318,HLOOKUP(INDIRECT(ADDRESS(2,COLUMN())),OFFSET($BN$2,0,0,ROW()-1,60),ROW()-1,FALSE))</f>
        <v>90855</v>
      </c>
      <c r="AL121">
        <f ca="1">IF(AND(ISNUMBER($AL$318),$B$185=1),$AL$318,HLOOKUP(INDIRECT(ADDRESS(2,COLUMN())),OFFSET($BN$2,0,0,ROW()-1,60),ROW()-1,FALSE))</f>
        <v>90325</v>
      </c>
      <c r="AM121">
        <f ca="1">IF(AND(ISNUMBER($AM$318),$B$185=1),$AM$318,HLOOKUP(INDIRECT(ADDRESS(2,COLUMN())),OFFSET($BN$2,0,0,ROW()-1,60),ROW()-1,FALSE))</f>
        <v>90157</v>
      </c>
      <c r="AN121">
        <f ca="1">IF(AND(ISNUMBER($AN$318),$B$185=1),$AN$318,HLOOKUP(INDIRECT(ADDRESS(2,COLUMN())),OFFSET($BN$2,0,0,ROW()-1,60),ROW()-1,FALSE))</f>
        <v>89970</v>
      </c>
      <c r="AO121">
        <f ca="1">IF(AND(ISNUMBER($AO$318),$B$185=1),$AO$318,HLOOKUP(INDIRECT(ADDRESS(2,COLUMN())),OFFSET($BN$2,0,0,ROW()-1,60),ROW()-1,FALSE))</f>
        <v>90541</v>
      </c>
      <c r="AP121">
        <f ca="1">IF(AND(ISNUMBER($AP$318),$B$185=1),$AP$318,HLOOKUP(INDIRECT(ADDRESS(2,COLUMN())),OFFSET($BN$2,0,0,ROW()-1,60),ROW()-1,FALSE))</f>
        <v>91132</v>
      </c>
      <c r="AQ121">
        <f ca="1">IF(AND(ISNUMBER($AQ$318),$B$185=1),$AQ$318,HLOOKUP(INDIRECT(ADDRESS(2,COLUMN())),OFFSET($BN$2,0,0,ROW()-1,60),ROW()-1,FALSE))</f>
        <v>90446</v>
      </c>
      <c r="AR121">
        <f ca="1">IF(AND(ISNUMBER($AR$318),$B$185=1),$AR$318,HLOOKUP(INDIRECT(ADDRESS(2,COLUMN())),OFFSET($BN$2,0,0,ROW()-1,60),ROW()-1,FALSE))</f>
        <v>89235</v>
      </c>
      <c r="AS121">
        <f ca="1">IF(AND(ISNUMBER($AS$318),$B$185=1),$AS$318,HLOOKUP(INDIRECT(ADDRESS(2,COLUMN())),OFFSET($BN$2,0,0,ROW()-1,60),ROW()-1,FALSE))</f>
        <v>89192</v>
      </c>
      <c r="AT121">
        <f ca="1">IF(AND(ISNUMBER($AT$318),$B$185=1),$AT$318,HLOOKUP(INDIRECT(ADDRESS(2,COLUMN())),OFFSET($BN$2,0,0,ROW()-1,60),ROW()-1,FALSE))</f>
        <v>90230</v>
      </c>
      <c r="AU121">
        <f ca="1">IF(AND(ISNUMBER($AU$318),$B$185=1),$AU$318,HLOOKUP(INDIRECT(ADDRESS(2,COLUMN())),OFFSET($BN$2,0,0,ROW()-1,60),ROW()-1,FALSE))</f>
        <v>89936</v>
      </c>
      <c r="AV121">
        <f ca="1">IF(AND(ISNUMBER($AV$318),$B$185=1),$AV$318,HLOOKUP(INDIRECT(ADDRESS(2,COLUMN())),OFFSET($BN$2,0,0,ROW()-1,60),ROW()-1,FALSE))</f>
        <v>88595</v>
      </c>
      <c r="AW121">
        <f ca="1">IF(AND(ISNUMBER($AW$318),$B$185=1),$AW$318,HLOOKUP(INDIRECT(ADDRESS(2,COLUMN())),OFFSET($BN$2,0,0,ROW()-1,60),ROW()-1,FALSE))</f>
        <v>88239</v>
      </c>
      <c r="AX121">
        <f ca="1">IF(AND(ISNUMBER($AX$318),$B$185=1),$AX$318,HLOOKUP(INDIRECT(ADDRESS(2,COLUMN())),OFFSET($BN$2,0,0,ROW()-1,60),ROW()-1,FALSE))</f>
        <v>87434</v>
      </c>
      <c r="AY121">
        <f ca="1">IF(AND(ISNUMBER($AY$318),$B$185=1),$AY$318,HLOOKUP(INDIRECT(ADDRESS(2,COLUMN())),OFFSET($BN$2,0,0,ROW()-1,60),ROW()-1,FALSE))</f>
        <v>84025</v>
      </c>
      <c r="AZ121">
        <f ca="1">IF(AND(ISNUMBER($AZ$318),$B$185=1),$AZ$318,HLOOKUP(INDIRECT(ADDRESS(2,COLUMN())),OFFSET($BN$2,0,0,ROW()-1,60),ROW()-1,FALSE))</f>
        <v>80846</v>
      </c>
      <c r="BA121">
        <f ca="1">IF(AND(ISNUMBER($BA$318),$B$185=1),$BA$318,HLOOKUP(INDIRECT(ADDRESS(2,COLUMN())),OFFSET($BN$2,0,0,ROW()-1,60),ROW()-1,FALSE))</f>
        <v>76830</v>
      </c>
      <c r="BB121">
        <f ca="1">IF(AND(ISNUMBER($BB$318),$B$185=1),$BB$318,HLOOKUP(INDIRECT(ADDRESS(2,COLUMN())),OFFSET($BN$2,0,0,ROW()-1,60),ROW()-1,FALSE))</f>
        <v>73769</v>
      </c>
      <c r="BC121">
        <f ca="1">IF(AND(ISNUMBER($BC$318),$B$185=1),$BC$318,HLOOKUP(INDIRECT(ADDRESS(2,COLUMN())),OFFSET($BN$2,0,0,ROW()-1,60),ROW()-1,FALSE))</f>
        <v>72343</v>
      </c>
      <c r="BD121">
        <f ca="1">IF(AND(ISNUMBER($BD$318),$B$185=1),$BD$318,HLOOKUP(INDIRECT(ADDRESS(2,COLUMN())),OFFSET($BN$2,0,0,ROW()-1,60),ROW()-1,FALSE))</f>
        <v>71389</v>
      </c>
      <c r="BE121">
        <f ca="1">IF(AND(ISNUMBER($BE$318),$B$185=1),$BE$318,HLOOKUP(INDIRECT(ADDRESS(2,COLUMN())),OFFSET($BN$2,0,0,ROW()-1,60),ROW()-1,FALSE))</f>
        <v>70318</v>
      </c>
      <c r="BF121">
        <f ca="1">IF(AND(ISNUMBER($BF$318),$B$185=1),$BF$318,HLOOKUP(INDIRECT(ADDRESS(2,COLUMN())),OFFSET($BN$2,0,0,ROW()-1,60),ROW()-1,FALSE))</f>
        <v>67066</v>
      </c>
      <c r="BG121">
        <f ca="1">IF(AND(ISNUMBER($BG$318),$B$185=1),$BG$318,HLOOKUP(INDIRECT(ADDRESS(2,COLUMN())),OFFSET($BN$2,0,0,ROW()-1,60),ROW()-1,FALSE))</f>
        <v>66305</v>
      </c>
      <c r="BH121">
        <f ca="1">IF(AND(ISNUMBER($BH$318),$B$185=1),$BH$318,HLOOKUP(INDIRECT(ADDRESS(2,COLUMN())),OFFSET($BN$2,0,0,ROW()-1,60),ROW()-1,FALSE))</f>
        <v>65872</v>
      </c>
      <c r="BI121">
        <f ca="1">IF(AND(ISNUMBER($BI$318),$B$185=1),$BI$318,HLOOKUP(INDIRECT(ADDRESS(2,COLUMN())),OFFSET($BN$2,0,0,ROW()-1,60),ROW()-1,FALSE))</f>
        <v>64894</v>
      </c>
      <c r="BJ121">
        <f ca="1">IF(AND(ISNUMBER($BJ$318),$B$185=1),$BJ$318,HLOOKUP(INDIRECT(ADDRESS(2,COLUMN())),OFFSET($BN$2,0,0,ROW()-1,60),ROW()-1,FALSE))</f>
        <v>61795</v>
      </c>
      <c r="BK121">
        <f ca="1">IF(AND(ISNUMBER($BK$318),$B$185=1),$BK$318,HLOOKUP(INDIRECT(ADDRESS(2,COLUMN())),OFFSET($BN$2,0,0,ROW()-1,60),ROW()-1,FALSE))</f>
        <v>60207</v>
      </c>
      <c r="BL121">
        <f ca="1">IF(AND(ISNUMBER($BL$318),$B$185=1),$BL$318,HLOOKUP(INDIRECT(ADDRESS(2,COLUMN())),OFFSET($BN$2,0,0,ROW()-1,60),ROW()-1,FALSE))</f>
        <v>59322</v>
      </c>
      <c r="BM121" t="str">
        <f ca="1">IF(AND(ISNUMBER($BM$318),$B$185=1),$BM$318,HLOOKUP(INDIRECT(ADDRESS(2,COLUMN())),OFFSET($BN$2,0,0,ROW()-1,60),ROW()-1,FALSE))</f>
        <v/>
      </c>
      <c r="BN121">
        <f>218475</f>
        <v>218475</v>
      </c>
      <c r="BO121">
        <f>221143</f>
        <v>221143</v>
      </c>
      <c r="BP121">
        <f>208270</f>
        <v>208270</v>
      </c>
      <c r="BQ121">
        <f>210635</f>
        <v>210635</v>
      </c>
      <c r="BR121">
        <f>213399</f>
        <v>213399</v>
      </c>
      <c r="BS121">
        <f>214953</f>
        <v>214953</v>
      </c>
      <c r="BT121">
        <f>222917</f>
        <v>222917</v>
      </c>
      <c r="BU121">
        <f>214830</f>
        <v>214830</v>
      </c>
      <c r="BV121">
        <f>217046</f>
        <v>217046</v>
      </c>
      <c r="BW121">
        <f>218740</f>
        <v>218740</v>
      </c>
      <c r="BX121">
        <f>209504</f>
        <v>209504</v>
      </c>
      <c r="BY121">
        <f>195737</f>
        <v>195737</v>
      </c>
      <c r="BZ121">
        <f>196011</f>
        <v>196011</v>
      </c>
      <c r="CA121">
        <f>198119</f>
        <v>198119</v>
      </c>
      <c r="CB121">
        <f>178004</f>
        <v>178004</v>
      </c>
      <c r="CC121">
        <f>179836</f>
        <v>179836</v>
      </c>
      <c r="CD121">
        <f>188341</f>
        <v>188341</v>
      </c>
      <c r="CE121">
        <f>198881</f>
        <v>198881</v>
      </c>
      <c r="CF121">
        <f>209070</f>
        <v>209070</v>
      </c>
      <c r="CG121">
        <f>219979</f>
        <v>219979</v>
      </c>
      <c r="CH121">
        <f>219347</f>
        <v>219347</v>
      </c>
      <c r="CI121">
        <f>87147</f>
        <v>87147</v>
      </c>
      <c r="CJ121">
        <f>85060</f>
        <v>85060</v>
      </c>
      <c r="CK121">
        <f>86119</f>
        <v>86119</v>
      </c>
      <c r="CL121">
        <f>87270</f>
        <v>87270</v>
      </c>
      <c r="CM121">
        <f>88323</f>
        <v>88323</v>
      </c>
      <c r="CN121">
        <f>88492</f>
        <v>88492</v>
      </c>
      <c r="CO121">
        <f>88746</f>
        <v>88746</v>
      </c>
      <c r="CP121">
        <f>89124</f>
        <v>89124</v>
      </c>
      <c r="CQ121">
        <f>89391</f>
        <v>89391</v>
      </c>
      <c r="CR121">
        <f>90106</f>
        <v>90106</v>
      </c>
      <c r="CS121">
        <f>90855</f>
        <v>90855</v>
      </c>
      <c r="CT121">
        <f>90325</f>
        <v>90325</v>
      </c>
      <c r="CU121">
        <f>90157</f>
        <v>90157</v>
      </c>
      <c r="CV121">
        <f>89970</f>
        <v>89970</v>
      </c>
      <c r="CW121">
        <f>90541</f>
        <v>90541</v>
      </c>
      <c r="CX121">
        <f>91132</f>
        <v>91132</v>
      </c>
      <c r="CY121">
        <f>90446</f>
        <v>90446</v>
      </c>
      <c r="CZ121">
        <f>89235</f>
        <v>89235</v>
      </c>
      <c r="DA121">
        <f>89192</f>
        <v>89192</v>
      </c>
      <c r="DB121">
        <f>90230</f>
        <v>90230</v>
      </c>
      <c r="DC121">
        <f>89936</f>
        <v>89936</v>
      </c>
      <c r="DD121">
        <f>88595</f>
        <v>88595</v>
      </c>
      <c r="DE121">
        <f>88239</f>
        <v>88239</v>
      </c>
      <c r="DF121">
        <f>87434</f>
        <v>87434</v>
      </c>
      <c r="DG121">
        <f>84025</f>
        <v>84025</v>
      </c>
      <c r="DH121">
        <f>80846</f>
        <v>80846</v>
      </c>
      <c r="DI121">
        <f>76830</f>
        <v>76830</v>
      </c>
      <c r="DJ121">
        <f>73769</f>
        <v>73769</v>
      </c>
      <c r="DK121">
        <f>72343</f>
        <v>72343</v>
      </c>
      <c r="DL121">
        <f>71389</f>
        <v>71389</v>
      </c>
      <c r="DM121">
        <f>70318</f>
        <v>70318</v>
      </c>
      <c r="DN121">
        <f>67066</f>
        <v>67066</v>
      </c>
      <c r="DO121">
        <f>66305</f>
        <v>66305</v>
      </c>
      <c r="DP121">
        <f>65872</f>
        <v>65872</v>
      </c>
      <c r="DQ121">
        <f>64894</f>
        <v>64894</v>
      </c>
      <c r="DR121">
        <f>61795</f>
        <v>61795</v>
      </c>
      <c r="DS121">
        <f>60207</f>
        <v>60207</v>
      </c>
      <c r="DT121">
        <f>59322</f>
        <v>59322</v>
      </c>
      <c r="DU121" t="str">
        <f>""</f>
        <v/>
      </c>
    </row>
    <row r="122" spans="1:125">
      <c r="A122" t="str">
        <f>"    US Bancorp"</f>
        <v xml:space="preserve">    US Bancorp</v>
      </c>
      <c r="B122" t="str">
        <f>"USB US Equity"</f>
        <v>USB US Equity</v>
      </c>
      <c r="C122" t="str">
        <f t="shared" si="13"/>
        <v>BS960</v>
      </c>
      <c r="D122" t="str">
        <f t="shared" si="14"/>
        <v>BS_RESIDENT_MTG_SERVICED_OTHERS</v>
      </c>
      <c r="E122" t="str">
        <f t="shared" si="15"/>
        <v>Dynamic</v>
      </c>
      <c r="F122">
        <f ca="1">IF(AND(ISNUMBER($F$319),$B$185=1),$F$319,HLOOKUP(INDIRECT(ADDRESS(2,COLUMN())),OFFSET($BN$2,0,0,ROW()-1,60),ROW()-1,FALSE))</f>
        <v>216648</v>
      </c>
      <c r="G122">
        <f ca="1">IF(AND(ISNUMBER($G$319),$B$185=1),$G$319,HLOOKUP(INDIRECT(ADDRESS(2,COLUMN())),OFFSET($BN$2,0,0,ROW()-1,60),ROW()-1,FALSE))</f>
        <v>215286</v>
      </c>
      <c r="H122">
        <f ca="1">IF(AND(ISNUMBER($H$319),$B$185=1),$H$319,HLOOKUP(INDIRECT(ADDRESS(2,COLUMN())),OFFSET($BN$2,0,0,ROW()-1,60),ROW()-1,FALSE))</f>
        <v>225780</v>
      </c>
      <c r="I122">
        <f ca="1">IF(AND(ISNUMBER($I$319),$B$185=1),$I$319,HLOOKUP(INDIRECT(ADDRESS(2,COLUMN())),OFFSET($BN$2,0,0,ROW()-1,60),ROW()-1,FALSE))</f>
        <v>232907</v>
      </c>
      <c r="J122">
        <f ca="1">IF(AND(ISNUMBER($J$319),$B$185=1),$J$319,HLOOKUP(INDIRECT(ADDRESS(2,COLUMN())),OFFSET($BN$2,0,0,ROW()-1,60),ROW()-1,FALSE))</f>
        <v>233382</v>
      </c>
      <c r="K122">
        <f ca="1">IF(AND(ISNUMBER($K$319),$B$185=1),$K$319,HLOOKUP(INDIRECT(ADDRESS(2,COLUMN())),OFFSET($BN$2,0,0,ROW()-1,60),ROW()-1,FALSE))</f>
        <v>232263</v>
      </c>
      <c r="L122">
        <f ca="1">IF(AND(ISNUMBER($L$319),$B$185=1),$L$319,HLOOKUP(INDIRECT(ADDRESS(2,COLUMN())),OFFSET($BN$2,0,0,ROW()-1,60),ROW()-1,FALSE))</f>
        <v>251572</v>
      </c>
      <c r="M122">
        <f ca="1">IF(AND(ISNUMBER($M$319),$B$185=1),$M$319,HLOOKUP(INDIRECT(ADDRESS(2,COLUMN())),OFFSET($BN$2,0,0,ROW()-1,60),ROW()-1,FALSE))</f>
        <v>245617</v>
      </c>
      <c r="N122">
        <f ca="1">IF(AND(ISNUMBER($N$319),$B$185=1),$N$319,HLOOKUP(INDIRECT(ADDRESS(2,COLUMN())),OFFSET($BN$2,0,0,ROW()-1,60),ROW()-1,FALSE))</f>
        <v>243626</v>
      </c>
      <c r="O122">
        <f ca="1">IF(AND(ISNUMBER($O$319),$B$185=1),$O$319,HLOOKUP(INDIRECT(ADDRESS(2,COLUMN())),OFFSET($BN$2,0,0,ROW()-1,60),ROW()-1,FALSE))</f>
        <v>228992</v>
      </c>
      <c r="P122">
        <f ca="1">IF(AND(ISNUMBER($P$319),$B$185=1),$P$319,HLOOKUP(INDIRECT(ADDRESS(2,COLUMN())),OFFSET($BN$2,0,0,ROW()-1,60),ROW()-1,FALSE))</f>
        <v>226372</v>
      </c>
      <c r="Q122">
        <f ca="1">IF(AND(ISNUMBER($Q$319),$B$185=1),$Q$319,HLOOKUP(INDIRECT(ADDRESS(2,COLUMN())),OFFSET($BN$2,0,0,ROW()-1,60),ROW()-1,FALSE))</f>
        <v>227179</v>
      </c>
      <c r="R122">
        <f ca="1">IF(AND(ISNUMBER($R$319),$B$185=1),$R$319,HLOOKUP(INDIRECT(ADDRESS(2,COLUMN())),OFFSET($BN$2,0,0,ROW()-1,60),ROW()-1,FALSE))</f>
        <v>218953</v>
      </c>
      <c r="S122">
        <f ca="1">IF(AND(ISNUMBER($S$319),$B$185=1),$S$319,HLOOKUP(INDIRECT(ADDRESS(2,COLUMN())),OFFSET($BN$2,0,0,ROW()-1,60),ROW()-1,FALSE))</f>
        <v>215973</v>
      </c>
      <c r="T122">
        <f ca="1">IF(AND(ISNUMBER($T$319),$B$185=1),$T$319,HLOOKUP(INDIRECT(ADDRESS(2,COLUMN())),OFFSET($BN$2,0,0,ROW()-1,60),ROW()-1,FALSE))</f>
        <v>215030</v>
      </c>
      <c r="U122">
        <f ca="1">IF(AND(ISNUMBER($U$319),$B$185=1),$U$319,HLOOKUP(INDIRECT(ADDRESS(2,COLUMN())),OFFSET($BN$2,0,0,ROW()-1,60),ROW()-1,FALSE))</f>
        <v>208662</v>
      </c>
      <c r="V122">
        <f ca="1">IF(AND(ISNUMBER($V$319),$B$185=1),$V$319,HLOOKUP(INDIRECT(ADDRESS(2,COLUMN())),OFFSET($BN$2,0,0,ROW()-1,60),ROW()-1,FALSE))</f>
        <v>208955</v>
      </c>
      <c r="W122">
        <f ca="1">IF(AND(ISNUMBER($W$319),$B$185=1),$W$319,HLOOKUP(INDIRECT(ADDRESS(2,COLUMN())),OFFSET($BN$2,0,0,ROW()-1,60),ROW()-1,FALSE))</f>
        <v>211798</v>
      </c>
      <c r="X122">
        <f ca="1">IF(AND(ISNUMBER($X$319),$B$185=1),$X$319,HLOOKUP(INDIRECT(ADDRESS(2,COLUMN())),OFFSET($BN$2,0,0,ROW()-1,60),ROW()-1,FALSE))</f>
        <v>217650</v>
      </c>
      <c r="Y122">
        <f ca="1">IF(AND(ISNUMBER($Y$319),$B$185=1),$Y$319,HLOOKUP(INDIRECT(ADDRESS(2,COLUMN())),OFFSET($BN$2,0,0,ROW()-1,60),ROW()-1,FALSE))</f>
        <v>224120</v>
      </c>
      <c r="Z122">
        <f ca="1">IF(AND(ISNUMBER($Z$319),$B$185=1),$Z$319,HLOOKUP(INDIRECT(ADDRESS(2,COLUMN())),OFFSET($BN$2,0,0,ROW()-1,60),ROW()-1,FALSE))</f>
        <v>223518</v>
      </c>
      <c r="AA122">
        <f ca="1">IF(AND(ISNUMBER($AA$319),$B$185=1),$AA$319,HLOOKUP(INDIRECT(ADDRESS(2,COLUMN())),OFFSET($BN$2,0,0,ROW()-1,60),ROW()-1,FALSE))</f>
        <v>225399</v>
      </c>
      <c r="AB122">
        <f ca="1">IF(AND(ISNUMBER($AB$319),$B$185=1),$AB$319,HLOOKUP(INDIRECT(ADDRESS(2,COLUMN())),OFFSET($BN$2,0,0,ROW()-1,60),ROW()-1,FALSE))</f>
        <v>226969</v>
      </c>
      <c r="AC122">
        <f ca="1">IF(AND(ISNUMBER($AC$319),$B$185=1),$AC$319,HLOOKUP(INDIRECT(ADDRESS(2,COLUMN())),OFFSET($BN$2,0,0,ROW()-1,60),ROW()-1,FALSE))</f>
        <v>230521</v>
      </c>
      <c r="AD122">
        <f ca="1">IF(AND(ISNUMBER($AD$319),$B$185=1),$AD$319,HLOOKUP(INDIRECT(ADDRESS(2,COLUMN())),OFFSET($BN$2,0,0,ROW()-1,60),ROW()-1,FALSE))</f>
        <v>229284</v>
      </c>
      <c r="AE122">
        <f ca="1">IF(AND(ISNUMBER($AE$319),$B$185=1),$AE$319,HLOOKUP(INDIRECT(ADDRESS(2,COLUMN())),OFFSET($BN$2,0,0,ROW()-1,60),ROW()-1,FALSE))</f>
        <v>230543</v>
      </c>
      <c r="AF122">
        <f ca="1">IF(AND(ISNUMBER($AF$319),$B$185=1),$AF$319,HLOOKUP(INDIRECT(ADDRESS(2,COLUMN())),OFFSET($BN$2,0,0,ROW()-1,60),ROW()-1,FALSE))</f>
        <v>232746</v>
      </c>
      <c r="AG122">
        <f ca="1">IF(AND(ISNUMBER($AG$319),$B$185=1),$AG$319,HLOOKUP(INDIRECT(ADDRESS(2,COLUMN())),OFFSET($BN$2,0,0,ROW()-1,60),ROW()-1,FALSE))</f>
        <v>233052</v>
      </c>
      <c r="AH122">
        <f ca="1">IF(AND(ISNUMBER($AH$319),$B$185=1),$AH$319,HLOOKUP(INDIRECT(ADDRESS(2,COLUMN())),OFFSET($BN$2,0,0,ROW()-1,60),ROW()-1,FALSE))</f>
        <v>232846</v>
      </c>
      <c r="AI122">
        <f ca="1">IF(AND(ISNUMBER($AI$319),$B$185=1),$AI$319,HLOOKUP(INDIRECT(ADDRESS(2,COLUMN())),OFFSET($BN$2,0,0,ROW()-1,60),ROW()-1,FALSE))</f>
        <v>231315</v>
      </c>
      <c r="AJ122">
        <f ca="1">IF(AND(ISNUMBER($AJ$319),$B$185=1),$AJ$319,HLOOKUP(INDIRECT(ADDRESS(2,COLUMN())),OFFSET($BN$2,0,0,ROW()-1,60),ROW()-1,FALSE))</f>
        <v>230690</v>
      </c>
      <c r="AK122">
        <f ca="1">IF(AND(ISNUMBER($AK$319),$B$185=1),$AK$319,HLOOKUP(INDIRECT(ADDRESS(2,COLUMN())),OFFSET($BN$2,0,0,ROW()-1,60),ROW()-1,FALSE))</f>
        <v>231885</v>
      </c>
      <c r="AL122">
        <f ca="1">IF(AND(ISNUMBER($AL$319),$B$185=1),$AL$319,HLOOKUP(INDIRECT(ADDRESS(2,COLUMN())),OFFSET($BN$2,0,0,ROW()-1,60),ROW()-1,FALSE))</f>
        <v>230047</v>
      </c>
      <c r="AM122">
        <f ca="1">IF(AND(ISNUMBER($AM$319),$B$185=1),$AM$319,HLOOKUP(INDIRECT(ADDRESS(2,COLUMN())),OFFSET($BN$2,0,0,ROW()-1,60),ROW()-1,FALSE))</f>
        <v>229647</v>
      </c>
      <c r="AN122">
        <f ca="1">IF(AND(ISNUMBER($AN$319),$B$185=1),$AN$319,HLOOKUP(INDIRECT(ADDRESS(2,COLUMN())),OFFSET($BN$2,0,0,ROW()-1,60),ROW()-1,FALSE))</f>
        <v>229449</v>
      </c>
      <c r="AO122">
        <f ca="1">IF(AND(ISNUMBER($AO$319),$B$185=1),$AO$319,HLOOKUP(INDIRECT(ADDRESS(2,COLUMN())),OFFSET($BN$2,0,0,ROW()-1,60),ROW()-1,FALSE))</f>
        <v>229748</v>
      </c>
      <c r="AP122">
        <f ca="1">IF(AND(ISNUMBER($AP$319),$B$185=1),$AP$319,HLOOKUP(INDIRECT(ADDRESS(2,COLUMN())),OFFSET($BN$2,0,0,ROW()-1,60),ROW()-1,FALSE))</f>
        <v>229375</v>
      </c>
      <c r="AQ122">
        <f ca="1">IF(AND(ISNUMBER($AQ$319),$B$185=1),$AQ$319,HLOOKUP(INDIRECT(ADDRESS(2,COLUMN())),OFFSET($BN$2,0,0,ROW()-1,60),ROW()-1,FALSE))</f>
        <v>226935</v>
      </c>
      <c r="AR122">
        <f ca="1">IF(AND(ISNUMBER($AR$319),$B$185=1),$AR$319,HLOOKUP(INDIRECT(ADDRESS(2,COLUMN())),OFFSET($BN$2,0,0,ROW()-1,60),ROW()-1,FALSE))</f>
        <v>223175</v>
      </c>
      <c r="AS122">
        <f ca="1">IF(AND(ISNUMBER($AS$319),$B$185=1),$AS$319,HLOOKUP(INDIRECT(ADDRESS(2,COLUMN())),OFFSET($BN$2,0,0,ROW()-1,60),ROW()-1,FALSE))</f>
        <v>222965</v>
      </c>
      <c r="AT122">
        <f ca="1">IF(AND(ISNUMBER($AT$319),$B$185=1),$AT$319,HLOOKUP(INDIRECT(ADDRESS(2,COLUMN())),OFFSET($BN$2,0,0,ROW()-1,60),ROW()-1,FALSE))</f>
        <v>222797</v>
      </c>
      <c r="AU122">
        <f ca="1">IF(AND(ISNUMBER($AU$319),$B$185=1),$AU$319,HLOOKUP(INDIRECT(ADDRESS(2,COLUMN())),OFFSET($BN$2,0,0,ROW()-1,60),ROW()-1,FALSE))</f>
        <v>222409</v>
      </c>
      <c r="AV122">
        <f ca="1">IF(AND(ISNUMBER($AV$319),$B$185=1),$AV$319,HLOOKUP(INDIRECT(ADDRESS(2,COLUMN())),OFFSET($BN$2,0,0,ROW()-1,60),ROW()-1,FALSE))</f>
        <v>222497</v>
      </c>
      <c r="AW122">
        <f ca="1">IF(AND(ISNUMBER($AW$319),$B$185=1),$AW$319,HLOOKUP(INDIRECT(ADDRESS(2,COLUMN())),OFFSET($BN$2,0,0,ROW()-1,60),ROW()-1,FALSE))</f>
        <v>224637</v>
      </c>
      <c r="AX122">
        <f ca="1">IF(AND(ISNUMBER($AX$319),$B$185=1),$AX$319,HLOOKUP(INDIRECT(ADDRESS(2,COLUMN())),OFFSET($BN$2,0,0,ROW()-1,60),ROW()-1,FALSE))</f>
        <v>226842</v>
      </c>
      <c r="AY122">
        <f ca="1">IF(AND(ISNUMBER($AY$319),$B$185=1),$AY$319,HLOOKUP(INDIRECT(ADDRESS(2,COLUMN())),OFFSET($BN$2,0,0,ROW()-1,60),ROW()-1,FALSE))</f>
        <v>226727</v>
      </c>
      <c r="AZ122">
        <f ca="1">IF(AND(ISNUMBER($AZ$319),$B$185=1),$AZ$319,HLOOKUP(INDIRECT(ADDRESS(2,COLUMN())),OFFSET($BN$2,0,0,ROW()-1,60),ROW()-1,FALSE))</f>
        <v>223904</v>
      </c>
      <c r="BA122">
        <f ca="1">IF(AND(ISNUMBER($BA$319),$B$185=1),$BA$319,HLOOKUP(INDIRECT(ADDRESS(2,COLUMN())),OFFSET($BN$2,0,0,ROW()-1,60),ROW()-1,FALSE))</f>
        <v>220321</v>
      </c>
      <c r="BB122">
        <f ca="1">IF(AND(ISNUMBER($BB$319),$B$185=1),$BB$319,HLOOKUP(INDIRECT(ADDRESS(2,COLUMN())),OFFSET($BN$2,0,0,ROW()-1,60),ROW()-1,FALSE))</f>
        <v>215637</v>
      </c>
      <c r="BC122">
        <f ca="1">IF(AND(ISNUMBER($BC$319),$B$185=1),$BC$319,HLOOKUP(INDIRECT(ADDRESS(2,COLUMN())),OFFSET($BN$2,0,0,ROW()-1,60),ROW()-1,FALSE))</f>
        <v>211263</v>
      </c>
      <c r="BD122">
        <f ca="1">IF(AND(ISNUMBER($BD$319),$B$185=1),$BD$319,HLOOKUP(INDIRECT(ADDRESS(2,COLUMN())),OFFSET($BN$2,0,0,ROW()-1,60),ROW()-1,FALSE))</f>
        <v>207427</v>
      </c>
      <c r="BE122">
        <f ca="1">IF(AND(ISNUMBER($BE$319),$B$185=1),$BE$319,HLOOKUP(INDIRECT(ADDRESS(2,COLUMN())),OFFSET($BN$2,0,0,ROW()-1,60),ROW()-1,FALSE))</f>
        <v>200171</v>
      </c>
      <c r="BF122">
        <f ca="1">IF(AND(ISNUMBER($BF$319),$B$185=1),$BF$319,HLOOKUP(INDIRECT(ADDRESS(2,COLUMN())),OFFSET($BN$2,0,0,ROW()-1,60),ROW()-1,FALSE))</f>
        <v>191082</v>
      </c>
      <c r="BG122">
        <f ca="1">IF(AND(ISNUMBER($BG$319),$B$185=1),$BG$319,HLOOKUP(INDIRECT(ADDRESS(2,COLUMN())),OFFSET($BN$2,0,0,ROW()-1,60),ROW()-1,FALSE))</f>
        <v>185555</v>
      </c>
      <c r="BH122">
        <f ca="1">IF(AND(ISNUMBER($BH$319),$B$185=1),$BH$319,HLOOKUP(INDIRECT(ADDRESS(2,COLUMN())),OFFSET($BN$2,0,0,ROW()-1,60),ROW()-1,FALSE))</f>
        <v>184858</v>
      </c>
      <c r="BI122">
        <f ca="1">IF(AND(ISNUMBER($BI$319),$B$185=1),$BI$319,HLOOKUP(INDIRECT(ADDRESS(2,COLUMN())),OFFSET($BN$2,0,0,ROW()-1,60),ROW()-1,FALSE))</f>
        <v>182665</v>
      </c>
      <c r="BJ122">
        <f ca="1">IF(AND(ISNUMBER($BJ$319),$B$185=1),$BJ$319,HLOOKUP(INDIRECT(ADDRESS(2,COLUMN())),OFFSET($BN$2,0,0,ROW()-1,60),ROW()-1,FALSE))</f>
        <v>173919</v>
      </c>
      <c r="BK122">
        <f ca="1">IF(AND(ISNUMBER($BK$319),$B$185=1),$BK$319,HLOOKUP(INDIRECT(ADDRESS(2,COLUMN())),OFFSET($BN$2,0,0,ROW()-1,60),ROW()-1,FALSE))</f>
        <v>165938</v>
      </c>
      <c r="BL122">
        <f ca="1">IF(AND(ISNUMBER($BL$319),$B$185=1),$BL$319,HLOOKUP(INDIRECT(ADDRESS(2,COLUMN())),OFFSET($BN$2,0,0,ROW()-1,60),ROW()-1,FALSE))</f>
        <v>163231</v>
      </c>
      <c r="BM122" t="str">
        <f ca="1">IF(AND(ISNUMBER($BM$319),$B$185=1),$BM$319,HLOOKUP(INDIRECT(ADDRESS(2,COLUMN())),OFFSET($BN$2,0,0,ROW()-1,60),ROW()-1,FALSE))</f>
        <v/>
      </c>
      <c r="BN122">
        <f>216648</f>
        <v>216648</v>
      </c>
      <c r="BO122">
        <f>215286</f>
        <v>215286</v>
      </c>
      <c r="BP122">
        <f>225780</f>
        <v>225780</v>
      </c>
      <c r="BQ122">
        <f>232907</f>
        <v>232907</v>
      </c>
      <c r="BR122">
        <f>233382</f>
        <v>233382</v>
      </c>
      <c r="BS122">
        <f>232263</f>
        <v>232263</v>
      </c>
      <c r="BT122">
        <f>251572</f>
        <v>251572</v>
      </c>
      <c r="BU122">
        <f>245617</f>
        <v>245617</v>
      </c>
      <c r="BV122">
        <f>243626</f>
        <v>243626</v>
      </c>
      <c r="BW122">
        <f>228992</f>
        <v>228992</v>
      </c>
      <c r="BX122">
        <f>226372</f>
        <v>226372</v>
      </c>
      <c r="BY122">
        <f>227179</f>
        <v>227179</v>
      </c>
      <c r="BZ122">
        <f>218953</f>
        <v>218953</v>
      </c>
      <c r="CA122">
        <f>215973</f>
        <v>215973</v>
      </c>
      <c r="CB122">
        <f>215030</f>
        <v>215030</v>
      </c>
      <c r="CC122">
        <f>208662</f>
        <v>208662</v>
      </c>
      <c r="CD122">
        <f>208955</f>
        <v>208955</v>
      </c>
      <c r="CE122">
        <f>211798</f>
        <v>211798</v>
      </c>
      <c r="CF122">
        <f>217650</f>
        <v>217650</v>
      </c>
      <c r="CG122">
        <f>224120</f>
        <v>224120</v>
      </c>
      <c r="CH122">
        <f>223518</f>
        <v>223518</v>
      </c>
      <c r="CI122">
        <f>225399</f>
        <v>225399</v>
      </c>
      <c r="CJ122">
        <f>226969</f>
        <v>226969</v>
      </c>
      <c r="CK122">
        <f>230521</f>
        <v>230521</v>
      </c>
      <c r="CL122">
        <f>229284</f>
        <v>229284</v>
      </c>
      <c r="CM122">
        <f>230543</f>
        <v>230543</v>
      </c>
      <c r="CN122">
        <f>232746</f>
        <v>232746</v>
      </c>
      <c r="CO122">
        <f>233052</f>
        <v>233052</v>
      </c>
      <c r="CP122">
        <f>232846</f>
        <v>232846</v>
      </c>
      <c r="CQ122">
        <f>231315</f>
        <v>231315</v>
      </c>
      <c r="CR122">
        <f>230690</f>
        <v>230690</v>
      </c>
      <c r="CS122">
        <f>231885</f>
        <v>231885</v>
      </c>
      <c r="CT122">
        <f>230047</f>
        <v>230047</v>
      </c>
      <c r="CU122">
        <f>229647</f>
        <v>229647</v>
      </c>
      <c r="CV122">
        <f>229449</f>
        <v>229449</v>
      </c>
      <c r="CW122">
        <f>229748</f>
        <v>229748</v>
      </c>
      <c r="CX122">
        <f>229375</f>
        <v>229375</v>
      </c>
      <c r="CY122">
        <f>226935</f>
        <v>226935</v>
      </c>
      <c r="CZ122">
        <f>223175</f>
        <v>223175</v>
      </c>
      <c r="DA122">
        <f>222965</f>
        <v>222965</v>
      </c>
      <c r="DB122">
        <f>222797</f>
        <v>222797</v>
      </c>
      <c r="DC122">
        <f>222409</f>
        <v>222409</v>
      </c>
      <c r="DD122">
        <f>222497</f>
        <v>222497</v>
      </c>
      <c r="DE122">
        <f>224637</f>
        <v>224637</v>
      </c>
      <c r="DF122">
        <f>226842</f>
        <v>226842</v>
      </c>
      <c r="DG122">
        <f>226727</f>
        <v>226727</v>
      </c>
      <c r="DH122">
        <f>223904</f>
        <v>223904</v>
      </c>
      <c r="DI122">
        <f>220321</f>
        <v>220321</v>
      </c>
      <c r="DJ122">
        <f>215637</f>
        <v>215637</v>
      </c>
      <c r="DK122">
        <f>211263</f>
        <v>211263</v>
      </c>
      <c r="DL122">
        <f>207427</f>
        <v>207427</v>
      </c>
      <c r="DM122">
        <f>200171</f>
        <v>200171</v>
      </c>
      <c r="DN122">
        <f>191082</f>
        <v>191082</v>
      </c>
      <c r="DO122">
        <f>185555</f>
        <v>185555</v>
      </c>
      <c r="DP122">
        <f>184858</f>
        <v>184858</v>
      </c>
      <c r="DQ122">
        <f>182665</f>
        <v>182665</v>
      </c>
      <c r="DR122">
        <f>173919</f>
        <v>173919</v>
      </c>
      <c r="DS122">
        <f>165938</f>
        <v>165938</v>
      </c>
      <c r="DT122">
        <f>163231</f>
        <v>163231</v>
      </c>
      <c r="DU122" t="str">
        <f>""</f>
        <v/>
      </c>
    </row>
    <row r="123" spans="1:125">
      <c r="A123" t="str">
        <f>"    Wells Fargo &amp; Co"</f>
        <v xml:space="preserve">    Wells Fargo &amp; Co</v>
      </c>
      <c r="B123" t="str">
        <f>"WFC US Equity"</f>
        <v>WFC US Equity</v>
      </c>
      <c r="C123" t="str">
        <f t="shared" si="13"/>
        <v>BS960</v>
      </c>
      <c r="D123" t="str">
        <f t="shared" si="14"/>
        <v>BS_RESIDENT_MTG_SERVICED_OTHERS</v>
      </c>
      <c r="E123" t="str">
        <f t="shared" si="15"/>
        <v>Dynamic</v>
      </c>
      <c r="F123">
        <f ca="1">IF(AND(ISNUMBER($F$320),$B$185=1),$F$320,HLOOKUP(INDIRECT(ADDRESS(2,COLUMN())),OFFSET($BN$2,0,0,ROW()-1,60),ROW()-1,FALSE))</f>
        <v>488000</v>
      </c>
      <c r="G123">
        <f ca="1">IF(AND(ISNUMBER($G$320),$B$185=1),$G$320,HLOOKUP(INDIRECT(ADDRESS(2,COLUMN())),OFFSET($BN$2,0,0,ROW()-1,60),ROW()-1,FALSE))</f>
        <v>500000</v>
      </c>
      <c r="H123">
        <f ca="1">IF(AND(ISNUMBER($H$320),$B$185=1),$H$320,HLOOKUP(INDIRECT(ADDRESS(2,COLUMN())),OFFSET($BN$2,0,0,ROW()-1,60),ROW()-1,FALSE))</f>
        <v>515000</v>
      </c>
      <c r="I123">
        <f ca="1">IF(AND(ISNUMBER($I$320),$B$185=1),$I$320,HLOOKUP(INDIRECT(ADDRESS(2,COLUMN())),OFFSET($BN$2,0,0,ROW()-1,60),ROW()-1,FALSE))</f>
        <v>536000</v>
      </c>
      <c r="J123">
        <f ca="1">IF(AND(ISNUMBER($J$320),$B$185=1),$J$320,HLOOKUP(INDIRECT(ADDRESS(2,COLUMN())),OFFSET($BN$2,0,0,ROW()-1,60),ROW()-1,FALSE))</f>
        <v>560000</v>
      </c>
      <c r="K123">
        <f ca="1">IF(AND(ISNUMBER($K$320),$B$185=1),$K$320,HLOOKUP(INDIRECT(ADDRESS(2,COLUMN())),OFFSET($BN$2,0,0,ROW()-1,60),ROW()-1,FALSE))</f>
        <v>592000</v>
      </c>
      <c r="L123">
        <f ca="1">IF(AND(ISNUMBER($L$320),$B$185=1),$L$320,HLOOKUP(INDIRECT(ADDRESS(2,COLUMN())),OFFSET($BN$2,0,0,ROW()-1,60),ROW()-1,FALSE))</f>
        <v>637000</v>
      </c>
      <c r="M123">
        <f ca="1">IF(AND(ISNUMBER($M$320),$B$185=1),$M$320,HLOOKUP(INDIRECT(ADDRESS(2,COLUMN())),OFFSET($BN$2,0,0,ROW()-1,60),ROW()-1,FALSE))</f>
        <v>668000</v>
      </c>
      <c r="N123">
        <f ca="1">IF(AND(ISNUMBER($N$320),$B$185=1),$N$320,HLOOKUP(INDIRECT(ADDRESS(2,COLUMN())),OFFSET($BN$2,0,0,ROW()-1,60),ROW()-1,FALSE))</f>
        <v>681000</v>
      </c>
      <c r="O123">
        <f ca="1">IF(AND(ISNUMBER($O$320),$B$185=1),$O$320,HLOOKUP(INDIRECT(ADDRESS(2,COLUMN())),OFFSET($BN$2,0,0,ROW()-1,60),ROW()-1,FALSE))</f>
        <v>688000</v>
      </c>
      <c r="P123">
        <f ca="1">IF(AND(ISNUMBER($P$320),$B$185=1),$P$320,HLOOKUP(INDIRECT(ADDRESS(2,COLUMN())),OFFSET($BN$2,0,0,ROW()-1,60),ROW()-1,FALSE))</f>
        <v>699000</v>
      </c>
      <c r="Q123">
        <f ca="1">IF(AND(ISNUMBER($Q$320),$B$185=1),$Q$320,HLOOKUP(INDIRECT(ADDRESS(2,COLUMN())),OFFSET($BN$2,0,0,ROW()-1,60),ROW()-1,FALSE))</f>
        <v>705000</v>
      </c>
      <c r="R123">
        <f ca="1">IF(AND(ISNUMBER($R$320),$B$185=1),$R$320,HLOOKUP(INDIRECT(ADDRESS(2,COLUMN())),OFFSET($BN$2,0,0,ROW()-1,60),ROW()-1,FALSE))</f>
        <v>718000</v>
      </c>
      <c r="S123">
        <f ca="1">IF(AND(ISNUMBER($S$320),$B$185=1),$S$320,HLOOKUP(INDIRECT(ADDRESS(2,COLUMN())),OFFSET($BN$2,0,0,ROW()-1,60),ROW()-1,FALSE))</f>
        <v>741000</v>
      </c>
      <c r="T123">
        <f ca="1">IF(AND(ISNUMBER($T$320),$B$185=1),$T$320,HLOOKUP(INDIRECT(ADDRESS(2,COLUMN())),OFFSET($BN$2,0,0,ROW()-1,60),ROW()-1,FALSE))</f>
        <v>771000</v>
      </c>
      <c r="U123">
        <f ca="1">IF(AND(ISNUMBER($U$320),$B$185=1),$U$320,HLOOKUP(INDIRECT(ADDRESS(2,COLUMN())),OFFSET($BN$2,0,0,ROW()-1,60),ROW()-1,FALSE))</f>
        <v>804000</v>
      </c>
      <c r="V123">
        <f ca="1">IF(AND(ISNUMBER($V$320),$B$185=1),$V$320,HLOOKUP(INDIRECT(ADDRESS(2,COLUMN())),OFFSET($BN$2,0,0,ROW()-1,60),ROW()-1,FALSE))</f>
        <v>859000</v>
      </c>
      <c r="W123">
        <f ca="1">IF(AND(ISNUMBER($W$320),$B$185=1),$W$320,HLOOKUP(INDIRECT(ADDRESS(2,COLUMN())),OFFSET($BN$2,0,0,ROW()-1,60),ROW()-1,FALSE))</f>
        <v>920000</v>
      </c>
      <c r="X123">
        <f ca="1">IF(AND(ISNUMBER($X$320),$B$185=1),$X$320,HLOOKUP(INDIRECT(ADDRESS(2,COLUMN())),OFFSET($BN$2,0,0,ROW()-1,60),ROW()-1,FALSE))</f>
        <v>992000</v>
      </c>
      <c r="Y123">
        <f ca="1">IF(AND(ISNUMBER($Y$320),$B$185=1),$Y$320,HLOOKUP(INDIRECT(ADDRESS(2,COLUMN())),OFFSET($BN$2,0,0,ROW()-1,60),ROW()-1,FALSE))</f>
        <v>1041000</v>
      </c>
      <c r="Z123">
        <f ca="1">IF(AND(ISNUMBER($Z$320),$B$185=1),$Z$320,HLOOKUP(INDIRECT(ADDRESS(2,COLUMN())),OFFSET($BN$2,0,0,ROW()-1,60),ROW()-1,FALSE))</f>
        <v>1063000</v>
      </c>
      <c r="AA123">
        <f ca="1">IF(AND(ISNUMBER($AA$320),$B$185=1),$AA$320,HLOOKUP(INDIRECT(ADDRESS(2,COLUMN())),OFFSET($BN$2,0,0,ROW()-1,60),ROW()-1,FALSE))</f>
        <v>1086000</v>
      </c>
      <c r="AB123">
        <f ca="1">IF(AND(ISNUMBER($AB$320),$B$185=1),$AB$320,HLOOKUP(INDIRECT(ADDRESS(2,COLUMN())),OFFSET($BN$2,0,0,ROW()-1,60),ROW()-1,FALSE))</f>
        <v>1112000</v>
      </c>
      <c r="AC123">
        <f ca="1">IF(AND(ISNUMBER($AC$320),$B$185=1),$AC$320,HLOOKUP(INDIRECT(ADDRESS(2,COLUMN())),OFFSET($BN$2,0,0,ROW()-1,60),ROW()-1,FALSE))</f>
        <v>1125000</v>
      </c>
      <c r="AD123">
        <f ca="1">IF(AND(ISNUMBER($AD$320),$B$185=1),$AD$320,HLOOKUP(INDIRECT(ADDRESS(2,COLUMN())),OFFSET($BN$2,0,0,ROW()-1,60),ROW()-1,FALSE))</f>
        <v>1164</v>
      </c>
      <c r="AE123">
        <f ca="1">IF(AND(ISNUMBER($AE$320),$B$185=1),$AE$320,HLOOKUP(INDIRECT(ADDRESS(2,COLUMN())),OFFSET($BN$2,0,0,ROW()-1,60),ROW()-1,FALSE))</f>
        <v>1184000</v>
      </c>
      <c r="AF123">
        <f ca="1">IF(AND(ISNUMBER($AF$320),$B$185=1),$AF$320,HLOOKUP(INDIRECT(ADDRESS(2,COLUMN())),OFFSET($BN$2,0,0,ROW()-1,60),ROW()-1,FALSE))</f>
        <v>1190000</v>
      </c>
      <c r="AG123">
        <f ca="1">IF(AND(ISNUMBER($AG$320),$B$185=1),$AG$320,HLOOKUP(INDIRECT(ADDRESS(2,COLUMN())),OFFSET($BN$2,0,0,ROW()-1,60),ROW()-1,FALSE))</f>
        <v>1201000</v>
      </c>
      <c r="AH123">
        <f ca="1">IF(AND(ISNUMBER($AH$320),$B$185=1),$AH$320,HLOOKUP(INDIRECT(ADDRESS(2,COLUMN())),OFFSET($BN$2,0,0,ROW()-1,60),ROW()-1,FALSE))</f>
        <v>1209000</v>
      </c>
      <c r="AI123">
        <f ca="1">IF(AND(ISNUMBER($AI$320),$B$185=1),$AI$320,HLOOKUP(INDIRECT(ADDRESS(2,COLUMN())),OFFSET($BN$2,0,0,ROW()-1,60),ROW()-1,FALSE))</f>
        <v>1223000</v>
      </c>
      <c r="AJ123">
        <f ca="1">IF(AND(ISNUMBER($AJ$320),$B$185=1),$AJ$320,HLOOKUP(INDIRECT(ADDRESS(2,COLUMN())),OFFSET($BN$2,0,0,ROW()-1,60),ROW()-1,FALSE))</f>
        <v>1189000</v>
      </c>
      <c r="AK123">
        <f ca="1">IF(AND(ISNUMBER($AK$320),$B$185=1),$AK$320,HLOOKUP(INDIRECT(ADDRESS(2,COLUMN())),OFFSET($BN$2,0,0,ROW()-1,60),ROW()-1,FALSE))</f>
        <v>1204000</v>
      </c>
      <c r="AL123">
        <f ca="1">IF(AND(ISNUMBER($AL$320),$B$185=1),$AL$320,HLOOKUP(INDIRECT(ADDRESS(2,COLUMN())),OFFSET($BN$2,0,0,ROW()-1,60),ROW()-1,FALSE))</f>
        <v>1205000</v>
      </c>
      <c r="AM123">
        <f ca="1">IF(AND(ISNUMBER($AM$320),$B$185=1),$AM$320,HLOOKUP(INDIRECT(ADDRESS(2,COLUMN())),OFFSET($BN$2,0,0,ROW()-1,60),ROW()-1,FALSE))</f>
        <v>1226000</v>
      </c>
      <c r="AN123">
        <f ca="1">IF(AND(ISNUMBER($AN$320),$B$185=1),$AN$320,HLOOKUP(INDIRECT(ADDRESS(2,COLUMN())),OFFSET($BN$2,0,0,ROW()-1,60),ROW()-1,FALSE))</f>
        <v>1250000</v>
      </c>
      <c r="AO123">
        <f ca="1">IF(AND(ISNUMBER($AO$320),$B$185=1),$AO$320,HLOOKUP(INDIRECT(ADDRESS(2,COLUMN())),OFFSET($BN$2,0,0,ROW()-1,60),ROW()-1,FALSE))</f>
        <v>1280000</v>
      </c>
      <c r="AP123">
        <f ca="1">IF(AND(ISNUMBER($AP$320),$B$185=1),$AP$320,HLOOKUP(INDIRECT(ADDRESS(2,COLUMN())),OFFSET($BN$2,0,0,ROW()-1,60),ROW()-1,FALSE))</f>
        <v>1300000</v>
      </c>
      <c r="AQ123">
        <f ca="1">IF(AND(ISNUMBER($AQ$320),$B$185=1),$AQ$320,HLOOKUP(INDIRECT(ADDRESS(2,COLUMN())),OFFSET($BN$2,0,0,ROW()-1,60),ROW()-1,FALSE))</f>
        <v>1324323</v>
      </c>
      <c r="AR123">
        <f ca="1">IF(AND(ISNUMBER($AR$320),$B$185=1),$AR$320,HLOOKUP(INDIRECT(ADDRESS(2,COLUMN())),OFFSET($BN$2,0,0,ROW()-1,60),ROW()-1,FALSE))</f>
        <v>1344000</v>
      </c>
      <c r="AS123">
        <f ca="1">IF(AND(ISNUMBER($AS$320),$B$185=1),$AS$320,HLOOKUP(INDIRECT(ADDRESS(2,COLUMN())),OFFSET($BN$2,0,0,ROW()-1,60),ROW()-1,FALSE))</f>
        <v>1374000</v>
      </c>
      <c r="AT123">
        <f ca="1">IF(AND(ISNUMBER($AT$320),$B$185=1),$AT$320,HLOOKUP(INDIRECT(ADDRESS(2,COLUMN())),OFFSET($BN$2,0,0,ROW()-1,60),ROW()-1,FALSE))</f>
        <v>1405000</v>
      </c>
      <c r="AU123">
        <f ca="1">IF(AND(ISNUMBER($AU$320),$B$185=1),$AU$320,HLOOKUP(INDIRECT(ADDRESS(2,COLUMN())),OFFSET($BN$2,0,0,ROW()-1,60),ROW()-1,FALSE))</f>
        <v>1430000</v>
      </c>
      <c r="AV123">
        <f ca="1">IF(AND(ISNUMBER($AV$320),$B$185=1),$AV$320,HLOOKUP(INDIRECT(ADDRESS(2,COLUMN())),OFFSET($BN$2,0,0,ROW()-1,60),ROW()-1,FALSE))</f>
        <v>1451000</v>
      </c>
      <c r="AW123">
        <f ca="1">IF(AND(ISNUMBER($AW$320),$B$185=1),$AW$320,HLOOKUP(INDIRECT(ADDRESS(2,COLUMN())),OFFSET($BN$2,0,0,ROW()-1,60),ROW()-1,FALSE))</f>
        <v>1470000</v>
      </c>
      <c r="AX123">
        <f ca="1">IF(AND(ISNUMBER($AX$320),$B$185=1),$AX$320,HLOOKUP(INDIRECT(ADDRESS(2,COLUMN())),OFFSET($BN$2,0,0,ROW()-1,60),ROW()-1,FALSE))</f>
        <v>1485000</v>
      </c>
      <c r="AY123">
        <f ca="1">IF(AND(ISNUMBER($AY$320),$B$185=1),$AY$320,HLOOKUP(INDIRECT(ADDRESS(2,COLUMN())),OFFSET($BN$2,0,0,ROW()-1,60),ROW()-1,FALSE))</f>
        <v>1494000</v>
      </c>
      <c r="AZ123">
        <f ca="1">IF(AND(ISNUMBER($AZ$320),$B$185=1),$AZ$320,HLOOKUP(INDIRECT(ADDRESS(2,COLUMN())),OFFSET($BN$2,0,0,ROW()-1,60),ROW()-1,FALSE))</f>
        <v>1487000</v>
      </c>
      <c r="BA123">
        <f ca="1">IF(AND(ISNUMBER($BA$320),$B$185=1),$BA$320,HLOOKUP(INDIRECT(ADDRESS(2,COLUMN())),OFFSET($BN$2,0,0,ROW()-1,60),ROW()-1,FALSE))</f>
        <v>1486000</v>
      </c>
      <c r="BB123">
        <f ca="1">IF(AND(ISNUMBER($BB$320),$B$185=1),$BB$320,HLOOKUP(INDIRECT(ADDRESS(2,COLUMN())),OFFSET($BN$2,0,0,ROW()-1,60),ROW()-1,FALSE))</f>
        <v>1498000</v>
      </c>
      <c r="BC123">
        <f ca="1">IF(AND(ISNUMBER($BC$320),$B$185=1),$BC$320,HLOOKUP(INDIRECT(ADDRESS(2,COLUMN())),OFFSET($BN$2,0,0,ROW()-1,60),ROW()-1,FALSE))</f>
        <v>1508000</v>
      </c>
      <c r="BD123">
        <f ca="1">IF(AND(ISNUMBER($BD$320),$B$185=1),$BD$320,HLOOKUP(INDIRECT(ADDRESS(2,COLUMN())),OFFSET($BN$2,0,0,ROW()-1,60),ROW()-1,FALSE))</f>
        <v>1499000</v>
      </c>
      <c r="BE123">
        <f ca="1">IF(AND(ISNUMBER($BE$320),$B$185=1),$BE$320,HLOOKUP(INDIRECT(ADDRESS(2,COLUMN())),OFFSET($BN$2,0,0,ROW()-1,60),ROW()-1,FALSE))</f>
        <v>1483000</v>
      </c>
      <c r="BF123">
        <f ca="1">IF(AND(ISNUMBER($BF$320),$B$185=1),$BF$320,HLOOKUP(INDIRECT(ADDRESS(2,COLUMN())),OFFSET($BN$2,0,0,ROW()-1,60),ROW()-1,FALSE))</f>
        <v>1456000</v>
      </c>
      <c r="BG123">
        <f ca="1">IF(AND(ISNUMBER($BG$320),$B$185=1),$BG$320,HLOOKUP(INDIRECT(ADDRESS(2,COLUMN())),OFFSET($BN$2,0,0,ROW()-1,60),ROW()-1,FALSE))</f>
        <v>1457000</v>
      </c>
      <c r="BH123">
        <f ca="1">IF(AND(ISNUMBER($BH$320),$B$185=1),$BH$320,HLOOKUP(INDIRECT(ADDRESS(2,COLUMN())),OFFSET($BN$2,0,0,ROW()-1,60),ROW()-1,FALSE))</f>
        <v>1464000</v>
      </c>
      <c r="BI123">
        <f ca="1">IF(AND(ISNUMBER($BI$320),$B$185=1),$BI$320,HLOOKUP(INDIRECT(ADDRESS(2,COLUMN())),OFFSET($BN$2,0,0,ROW()-1,60),ROW()-1,FALSE))</f>
        <v>1453000</v>
      </c>
      <c r="BJ123">
        <f ca="1">IF(AND(ISNUMBER($BJ$320),$B$185=1),$BJ$320,HLOOKUP(INDIRECT(ADDRESS(2,COLUMN())),OFFSET($BN$2,0,0,ROW()-1,60),ROW()-1,FALSE))</f>
        <v>1429000</v>
      </c>
      <c r="BK123">
        <f ca="1">IF(AND(ISNUMBER($BK$320),$B$185=1),$BK$320,HLOOKUP(INDIRECT(ADDRESS(2,COLUMN())),OFFSET($BN$2,0,0,ROW()-1,60),ROW()-1,FALSE))</f>
        <v>1433000</v>
      </c>
      <c r="BL123">
        <f ca="1">IF(AND(ISNUMBER($BL$320),$B$185=1),$BL$320,HLOOKUP(INDIRECT(ADDRESS(2,COLUMN())),OFFSET($BN$2,0,0,ROW()-1,60),ROW()-1,FALSE))</f>
        <v>1437000</v>
      </c>
      <c r="BM123" t="str">
        <f ca="1">IF(AND(ISNUMBER($BM$320),$B$185=1),$BM$320,HLOOKUP(INDIRECT(ADDRESS(2,COLUMN())),OFFSET($BN$2,0,0,ROW()-1,60),ROW()-1,FALSE))</f>
        <v/>
      </c>
      <c r="BN123">
        <f>488000</f>
        <v>488000</v>
      </c>
      <c r="BO123">
        <f>500000</f>
        <v>500000</v>
      </c>
      <c r="BP123">
        <f>515000</f>
        <v>515000</v>
      </c>
      <c r="BQ123">
        <f>536000</f>
        <v>536000</v>
      </c>
      <c r="BR123">
        <f>560000</f>
        <v>560000</v>
      </c>
      <c r="BS123">
        <f>592000</f>
        <v>592000</v>
      </c>
      <c r="BT123">
        <f>637000</f>
        <v>637000</v>
      </c>
      <c r="BU123">
        <f>668000</f>
        <v>668000</v>
      </c>
      <c r="BV123">
        <f>681000</f>
        <v>681000</v>
      </c>
      <c r="BW123">
        <f>688000</f>
        <v>688000</v>
      </c>
      <c r="BX123">
        <f>699000</f>
        <v>699000</v>
      </c>
      <c r="BY123">
        <f>705000</f>
        <v>705000</v>
      </c>
      <c r="BZ123">
        <f>718000</f>
        <v>718000</v>
      </c>
      <c r="CA123">
        <f>741000</f>
        <v>741000</v>
      </c>
      <c r="CB123">
        <f>771000</f>
        <v>771000</v>
      </c>
      <c r="CC123">
        <f>804000</f>
        <v>804000</v>
      </c>
      <c r="CD123">
        <f>859000</f>
        <v>859000</v>
      </c>
      <c r="CE123">
        <f>920000</f>
        <v>920000</v>
      </c>
      <c r="CF123">
        <f>992000</f>
        <v>992000</v>
      </c>
      <c r="CG123">
        <f>1041000</f>
        <v>1041000</v>
      </c>
      <c r="CH123">
        <f>1063000</f>
        <v>1063000</v>
      </c>
      <c r="CI123">
        <f>1086000</f>
        <v>1086000</v>
      </c>
      <c r="CJ123">
        <f>1112000</f>
        <v>1112000</v>
      </c>
      <c r="CK123">
        <f>1125000</f>
        <v>1125000</v>
      </c>
      <c r="CL123">
        <f>1164</f>
        <v>1164</v>
      </c>
      <c r="CM123">
        <f>1184000</f>
        <v>1184000</v>
      </c>
      <c r="CN123">
        <f>1190000</f>
        <v>1190000</v>
      </c>
      <c r="CO123">
        <f>1201000</f>
        <v>1201000</v>
      </c>
      <c r="CP123">
        <f>1209000</f>
        <v>1209000</v>
      </c>
      <c r="CQ123">
        <f>1223000</f>
        <v>1223000</v>
      </c>
      <c r="CR123">
        <f>1189000</f>
        <v>1189000</v>
      </c>
      <c r="CS123">
        <f>1204000</f>
        <v>1204000</v>
      </c>
      <c r="CT123">
        <f>1205000</f>
        <v>1205000</v>
      </c>
      <c r="CU123">
        <f>1226000</f>
        <v>1226000</v>
      </c>
      <c r="CV123">
        <f>1250000</f>
        <v>1250000</v>
      </c>
      <c r="CW123">
        <f>1280000</f>
        <v>1280000</v>
      </c>
      <c r="CX123">
        <f>1300000</f>
        <v>1300000</v>
      </c>
      <c r="CY123">
        <f>1324323</f>
        <v>1324323</v>
      </c>
      <c r="CZ123">
        <f>1344000</f>
        <v>1344000</v>
      </c>
      <c r="DA123">
        <f>1374000</f>
        <v>1374000</v>
      </c>
      <c r="DB123">
        <f>1405000</f>
        <v>1405000</v>
      </c>
      <c r="DC123">
        <f>1430000</f>
        <v>1430000</v>
      </c>
      <c r="DD123">
        <f>1451000</f>
        <v>1451000</v>
      </c>
      <c r="DE123">
        <f>1470000</f>
        <v>1470000</v>
      </c>
      <c r="DF123">
        <f>1485000</f>
        <v>1485000</v>
      </c>
      <c r="DG123">
        <f>1494000</f>
        <v>1494000</v>
      </c>
      <c r="DH123">
        <f>1487000</f>
        <v>1487000</v>
      </c>
      <c r="DI123">
        <f>1486000</f>
        <v>1486000</v>
      </c>
      <c r="DJ123">
        <f>1498000</f>
        <v>1498000</v>
      </c>
      <c r="DK123">
        <f>1508000</f>
        <v>1508000</v>
      </c>
      <c r="DL123">
        <f>1499000</f>
        <v>1499000</v>
      </c>
      <c r="DM123">
        <f>1483000</f>
        <v>1483000</v>
      </c>
      <c r="DN123">
        <f>1456000</f>
        <v>1456000</v>
      </c>
      <c r="DO123">
        <f>1457000</f>
        <v>1457000</v>
      </c>
      <c r="DP123">
        <f>1464000</f>
        <v>1464000</v>
      </c>
      <c r="DQ123">
        <f>1453000</f>
        <v>1453000</v>
      </c>
      <c r="DR123">
        <f>1429000</f>
        <v>1429000</v>
      </c>
      <c r="DS123">
        <f>1433000</f>
        <v>1433000</v>
      </c>
      <c r="DT123">
        <f>1437000</f>
        <v>1437000</v>
      </c>
      <c r="DU123" t="str">
        <f>""</f>
        <v/>
      </c>
    </row>
    <row r="124" spans="1:125">
      <c r="A124" t="str">
        <f>"    Western Alliance Bancorp"</f>
        <v xml:space="preserve">    Western Alliance Bancorp</v>
      </c>
      <c r="B124" t="str">
        <f>"WAL US Equity"</f>
        <v>WAL US Equity</v>
      </c>
      <c r="C124" t="str">
        <f t="shared" si="13"/>
        <v>BS960</v>
      </c>
      <c r="D124" t="str">
        <f t="shared" si="14"/>
        <v>BS_RESIDENT_MTG_SERVICED_OTHERS</v>
      </c>
      <c r="E124" t="str">
        <f t="shared" si="15"/>
        <v>Dynamic</v>
      </c>
      <c r="F124" t="str">
        <f ca="1">IF(AND(ISNUMBER($F$321),$B$185=1),$F$321,HLOOKUP(INDIRECT(ADDRESS(2,COLUMN())),OFFSET($BN$2,0,0,ROW()-1,60),ROW()-1,FALSE))</f>
        <v/>
      </c>
      <c r="G124" t="str">
        <f ca="1">IF(AND(ISNUMBER($G$321),$B$185=1),$G$321,HLOOKUP(INDIRECT(ADDRESS(2,COLUMN())),OFFSET($BN$2,0,0,ROW()-1,60),ROW()-1,FALSE))</f>
        <v/>
      </c>
      <c r="H124" t="str">
        <f ca="1">IF(AND(ISNUMBER($H$321),$B$185=1),$H$321,HLOOKUP(INDIRECT(ADDRESS(2,COLUMN())),OFFSET($BN$2,0,0,ROW()-1,60),ROW()-1,FALSE))</f>
        <v/>
      </c>
      <c r="I124" t="str">
        <f ca="1">IF(AND(ISNUMBER($I$321),$B$185=1),$I$321,HLOOKUP(INDIRECT(ADDRESS(2,COLUMN())),OFFSET($BN$2,0,0,ROW()-1,60),ROW()-1,FALSE))</f>
        <v/>
      </c>
      <c r="J124" t="str">
        <f ca="1">IF(AND(ISNUMBER($J$321),$B$185=1),$J$321,HLOOKUP(INDIRECT(ADDRESS(2,COLUMN())),OFFSET($BN$2,0,0,ROW()-1,60),ROW()-1,FALSE))</f>
        <v/>
      </c>
      <c r="K124" t="str">
        <f ca="1">IF(AND(ISNUMBER($K$321),$B$185=1),$K$321,HLOOKUP(INDIRECT(ADDRESS(2,COLUMN())),OFFSET($BN$2,0,0,ROW()-1,60),ROW()-1,FALSE))</f>
        <v/>
      </c>
      <c r="L124" t="str">
        <f ca="1">IF(AND(ISNUMBER($L$321),$B$185=1),$L$321,HLOOKUP(INDIRECT(ADDRESS(2,COLUMN())),OFFSET($BN$2,0,0,ROW()-1,60),ROW()-1,FALSE))</f>
        <v/>
      </c>
      <c r="M124" t="str">
        <f ca="1">IF(AND(ISNUMBER($M$321),$B$185=1),$M$321,HLOOKUP(INDIRECT(ADDRESS(2,COLUMN())),OFFSET($BN$2,0,0,ROW()-1,60),ROW()-1,FALSE))</f>
        <v/>
      </c>
      <c r="N124" t="str">
        <f ca="1">IF(AND(ISNUMBER($N$321),$B$185=1),$N$321,HLOOKUP(INDIRECT(ADDRESS(2,COLUMN())),OFFSET($BN$2,0,0,ROW()-1,60),ROW()-1,FALSE))</f>
        <v/>
      </c>
      <c r="O124" t="str">
        <f ca="1">IF(AND(ISNUMBER($O$321),$B$185=1),$O$321,HLOOKUP(INDIRECT(ADDRESS(2,COLUMN())),OFFSET($BN$2,0,0,ROW()-1,60),ROW()-1,FALSE))</f>
        <v/>
      </c>
      <c r="P124" t="str">
        <f ca="1">IF(AND(ISNUMBER($P$321),$B$185=1),$P$321,HLOOKUP(INDIRECT(ADDRESS(2,COLUMN())),OFFSET($BN$2,0,0,ROW()-1,60),ROW()-1,FALSE))</f>
        <v/>
      </c>
      <c r="Q124" t="str">
        <f ca="1">IF(AND(ISNUMBER($Q$321),$B$185=1),$Q$321,HLOOKUP(INDIRECT(ADDRESS(2,COLUMN())),OFFSET($BN$2,0,0,ROW()-1,60),ROW()-1,FALSE))</f>
        <v/>
      </c>
      <c r="R124" t="str">
        <f ca="1">IF(AND(ISNUMBER($R$321),$B$185=1),$R$321,HLOOKUP(INDIRECT(ADDRESS(2,COLUMN())),OFFSET($BN$2,0,0,ROW()-1,60),ROW()-1,FALSE))</f>
        <v/>
      </c>
      <c r="S124" t="str">
        <f ca="1">IF(AND(ISNUMBER($S$321),$B$185=1),$S$321,HLOOKUP(INDIRECT(ADDRESS(2,COLUMN())),OFFSET($BN$2,0,0,ROW()-1,60),ROW()-1,FALSE))</f>
        <v/>
      </c>
      <c r="T124" t="str">
        <f ca="1">IF(AND(ISNUMBER($T$321),$B$185=1),$T$321,HLOOKUP(INDIRECT(ADDRESS(2,COLUMN())),OFFSET($BN$2,0,0,ROW()-1,60),ROW()-1,FALSE))</f>
        <v/>
      </c>
      <c r="U124" t="str">
        <f ca="1">IF(AND(ISNUMBER($U$321),$B$185=1),$U$321,HLOOKUP(INDIRECT(ADDRESS(2,COLUMN())),OFFSET($BN$2,0,0,ROW()-1,60),ROW()-1,FALSE))</f>
        <v/>
      </c>
      <c r="V124" t="str">
        <f ca="1">IF(AND(ISNUMBER($V$321),$B$185=1),$V$321,HLOOKUP(INDIRECT(ADDRESS(2,COLUMN())),OFFSET($BN$2,0,0,ROW()-1,60),ROW()-1,FALSE))</f>
        <v/>
      </c>
      <c r="W124" t="str">
        <f ca="1">IF(AND(ISNUMBER($W$321),$B$185=1),$W$321,HLOOKUP(INDIRECT(ADDRESS(2,COLUMN())),OFFSET($BN$2,0,0,ROW()-1,60),ROW()-1,FALSE))</f>
        <v/>
      </c>
      <c r="X124" t="str">
        <f ca="1">IF(AND(ISNUMBER($X$321),$B$185=1),$X$321,HLOOKUP(INDIRECT(ADDRESS(2,COLUMN())),OFFSET($BN$2,0,0,ROW()-1,60),ROW()-1,FALSE))</f>
        <v/>
      </c>
      <c r="Y124" t="str">
        <f ca="1">IF(AND(ISNUMBER($Y$321),$B$185=1),$Y$321,HLOOKUP(INDIRECT(ADDRESS(2,COLUMN())),OFFSET($BN$2,0,0,ROW()-1,60),ROW()-1,FALSE))</f>
        <v/>
      </c>
      <c r="Z124" t="str">
        <f ca="1">IF(AND(ISNUMBER($Z$321),$B$185=1),$Z$321,HLOOKUP(INDIRECT(ADDRESS(2,COLUMN())),OFFSET($BN$2,0,0,ROW()-1,60),ROW()-1,FALSE))</f>
        <v/>
      </c>
      <c r="AA124" t="str">
        <f ca="1">IF(AND(ISNUMBER($AA$321),$B$185=1),$AA$321,HLOOKUP(INDIRECT(ADDRESS(2,COLUMN())),OFFSET($BN$2,0,0,ROW()-1,60),ROW()-1,FALSE))</f>
        <v/>
      </c>
      <c r="AB124" t="str">
        <f ca="1">IF(AND(ISNUMBER($AB$321),$B$185=1),$AB$321,HLOOKUP(INDIRECT(ADDRESS(2,COLUMN())),OFFSET($BN$2,0,0,ROW()-1,60),ROW()-1,FALSE))</f>
        <v/>
      </c>
      <c r="AC124" t="str">
        <f ca="1">IF(AND(ISNUMBER($AC$321),$B$185=1),$AC$321,HLOOKUP(INDIRECT(ADDRESS(2,COLUMN())),OFFSET($BN$2,0,0,ROW()-1,60),ROW()-1,FALSE))</f>
        <v/>
      </c>
      <c r="AD124" t="str">
        <f ca="1">IF(AND(ISNUMBER($AD$321),$B$185=1),$AD$321,HLOOKUP(INDIRECT(ADDRESS(2,COLUMN())),OFFSET($BN$2,0,0,ROW()-1,60),ROW()-1,FALSE))</f>
        <v/>
      </c>
      <c r="AE124" t="str">
        <f ca="1">IF(AND(ISNUMBER($AE$321),$B$185=1),$AE$321,HLOOKUP(INDIRECT(ADDRESS(2,COLUMN())),OFFSET($BN$2,0,0,ROW()-1,60),ROW()-1,FALSE))</f>
        <v/>
      </c>
      <c r="AF124" t="str">
        <f ca="1">IF(AND(ISNUMBER($AF$321),$B$185=1),$AF$321,HLOOKUP(INDIRECT(ADDRESS(2,COLUMN())),OFFSET($BN$2,0,0,ROW()-1,60),ROW()-1,FALSE))</f>
        <v/>
      </c>
      <c r="AG124" t="str">
        <f ca="1">IF(AND(ISNUMBER($AG$321),$B$185=1),$AG$321,HLOOKUP(INDIRECT(ADDRESS(2,COLUMN())),OFFSET($BN$2,0,0,ROW()-1,60),ROW()-1,FALSE))</f>
        <v/>
      </c>
      <c r="AH124" t="str">
        <f ca="1">IF(AND(ISNUMBER($AH$321),$B$185=1),$AH$321,HLOOKUP(INDIRECT(ADDRESS(2,COLUMN())),OFFSET($BN$2,0,0,ROW()-1,60),ROW()-1,FALSE))</f>
        <v/>
      </c>
      <c r="AI124" t="str">
        <f ca="1">IF(AND(ISNUMBER($AI$321),$B$185=1),$AI$321,HLOOKUP(INDIRECT(ADDRESS(2,COLUMN())),OFFSET($BN$2,0,0,ROW()-1,60),ROW()-1,FALSE))</f>
        <v/>
      </c>
      <c r="AJ124" t="str">
        <f ca="1">IF(AND(ISNUMBER($AJ$321),$B$185=1),$AJ$321,HLOOKUP(INDIRECT(ADDRESS(2,COLUMN())),OFFSET($BN$2,0,0,ROW()-1,60),ROW()-1,FALSE))</f>
        <v/>
      </c>
      <c r="AK124" t="str">
        <f ca="1">IF(AND(ISNUMBER($AK$321),$B$185=1),$AK$321,HLOOKUP(INDIRECT(ADDRESS(2,COLUMN())),OFFSET($BN$2,0,0,ROW()-1,60),ROW()-1,FALSE))</f>
        <v/>
      </c>
      <c r="AL124" t="str">
        <f ca="1">IF(AND(ISNUMBER($AL$321),$B$185=1),$AL$321,HLOOKUP(INDIRECT(ADDRESS(2,COLUMN())),OFFSET($BN$2,0,0,ROW()-1,60),ROW()-1,FALSE))</f>
        <v/>
      </c>
      <c r="AM124" t="str">
        <f ca="1">IF(AND(ISNUMBER($AM$321),$B$185=1),$AM$321,HLOOKUP(INDIRECT(ADDRESS(2,COLUMN())),OFFSET($BN$2,0,0,ROW()-1,60),ROW()-1,FALSE))</f>
        <v/>
      </c>
      <c r="AN124" t="str">
        <f ca="1">IF(AND(ISNUMBER($AN$321),$B$185=1),$AN$321,HLOOKUP(INDIRECT(ADDRESS(2,COLUMN())),OFFSET($BN$2,0,0,ROW()-1,60),ROW()-1,FALSE))</f>
        <v/>
      </c>
      <c r="AO124" t="str">
        <f ca="1">IF(AND(ISNUMBER($AO$321),$B$185=1),$AO$321,HLOOKUP(INDIRECT(ADDRESS(2,COLUMN())),OFFSET($BN$2,0,0,ROW()-1,60),ROW()-1,FALSE))</f>
        <v/>
      </c>
      <c r="AP124" t="str">
        <f ca="1">IF(AND(ISNUMBER($AP$321),$B$185=1),$AP$321,HLOOKUP(INDIRECT(ADDRESS(2,COLUMN())),OFFSET($BN$2,0,0,ROW()-1,60),ROW()-1,FALSE))</f>
        <v/>
      </c>
      <c r="AQ124" t="str">
        <f ca="1">IF(AND(ISNUMBER($AQ$321),$B$185=1),$AQ$321,HLOOKUP(INDIRECT(ADDRESS(2,COLUMN())),OFFSET($BN$2,0,0,ROW()-1,60),ROW()-1,FALSE))</f>
        <v/>
      </c>
      <c r="AR124" t="str">
        <f ca="1">IF(AND(ISNUMBER($AR$321),$B$185=1),$AR$321,HLOOKUP(INDIRECT(ADDRESS(2,COLUMN())),OFFSET($BN$2,0,0,ROW()-1,60),ROW()-1,FALSE))</f>
        <v/>
      </c>
      <c r="AS124" t="str">
        <f ca="1">IF(AND(ISNUMBER($AS$321),$B$185=1),$AS$321,HLOOKUP(INDIRECT(ADDRESS(2,COLUMN())),OFFSET($BN$2,0,0,ROW()-1,60),ROW()-1,FALSE))</f>
        <v/>
      </c>
      <c r="AT124" t="str">
        <f ca="1">IF(AND(ISNUMBER($AT$321),$B$185=1),$AT$321,HLOOKUP(INDIRECT(ADDRESS(2,COLUMN())),OFFSET($BN$2,0,0,ROW()-1,60),ROW()-1,FALSE))</f>
        <v/>
      </c>
      <c r="AU124" t="str">
        <f ca="1">IF(AND(ISNUMBER($AU$321),$B$185=1),$AU$321,HLOOKUP(INDIRECT(ADDRESS(2,COLUMN())),OFFSET($BN$2,0,0,ROW()-1,60),ROW()-1,FALSE))</f>
        <v/>
      </c>
      <c r="AV124" t="str">
        <f ca="1">IF(AND(ISNUMBER($AV$321),$B$185=1),$AV$321,HLOOKUP(INDIRECT(ADDRESS(2,COLUMN())),OFFSET($BN$2,0,0,ROW()-1,60),ROW()-1,FALSE))</f>
        <v/>
      </c>
      <c r="AW124" t="str">
        <f ca="1">IF(AND(ISNUMBER($AW$321),$B$185=1),$AW$321,HLOOKUP(INDIRECT(ADDRESS(2,COLUMN())),OFFSET($BN$2,0,0,ROW()-1,60),ROW()-1,FALSE))</f>
        <v/>
      </c>
      <c r="AX124" t="str">
        <f ca="1">IF(AND(ISNUMBER($AX$321),$B$185=1),$AX$321,HLOOKUP(INDIRECT(ADDRESS(2,COLUMN())),OFFSET($BN$2,0,0,ROW()-1,60),ROW()-1,FALSE))</f>
        <v/>
      </c>
      <c r="AY124" t="str">
        <f ca="1">IF(AND(ISNUMBER($AY$321),$B$185=1),$AY$321,HLOOKUP(INDIRECT(ADDRESS(2,COLUMN())),OFFSET($BN$2,0,0,ROW()-1,60),ROW()-1,FALSE))</f>
        <v/>
      </c>
      <c r="AZ124" t="str">
        <f ca="1">IF(AND(ISNUMBER($AZ$321),$B$185=1),$AZ$321,HLOOKUP(INDIRECT(ADDRESS(2,COLUMN())),OFFSET($BN$2,0,0,ROW()-1,60),ROW()-1,FALSE))</f>
        <v/>
      </c>
      <c r="BA124" t="str">
        <f ca="1">IF(AND(ISNUMBER($BA$321),$B$185=1),$BA$321,HLOOKUP(INDIRECT(ADDRESS(2,COLUMN())),OFFSET($BN$2,0,0,ROW()-1,60),ROW()-1,FALSE))</f>
        <v/>
      </c>
      <c r="BB124" t="str">
        <f ca="1">IF(AND(ISNUMBER($BB$321),$B$185=1),$BB$321,HLOOKUP(INDIRECT(ADDRESS(2,COLUMN())),OFFSET($BN$2,0,0,ROW()-1,60),ROW()-1,FALSE))</f>
        <v/>
      </c>
      <c r="BC124" t="str">
        <f ca="1">IF(AND(ISNUMBER($BC$321),$B$185=1),$BC$321,HLOOKUP(INDIRECT(ADDRESS(2,COLUMN())),OFFSET($BN$2,0,0,ROW()-1,60),ROW()-1,FALSE))</f>
        <v/>
      </c>
      <c r="BD124" t="str">
        <f ca="1">IF(AND(ISNUMBER($BD$321),$B$185=1),$BD$321,HLOOKUP(INDIRECT(ADDRESS(2,COLUMN())),OFFSET($BN$2,0,0,ROW()-1,60),ROW()-1,FALSE))</f>
        <v/>
      </c>
      <c r="BE124" t="str">
        <f ca="1">IF(AND(ISNUMBER($BE$321),$B$185=1),$BE$321,HLOOKUP(INDIRECT(ADDRESS(2,COLUMN())),OFFSET($BN$2,0,0,ROW()-1,60),ROW()-1,FALSE))</f>
        <v/>
      </c>
      <c r="BF124" t="str">
        <f ca="1">IF(AND(ISNUMBER($BF$321),$B$185=1),$BF$321,HLOOKUP(INDIRECT(ADDRESS(2,COLUMN())),OFFSET($BN$2,0,0,ROW()-1,60),ROW()-1,FALSE))</f>
        <v/>
      </c>
      <c r="BG124" t="str">
        <f ca="1">IF(AND(ISNUMBER($BG$321),$B$185=1),$BG$321,HLOOKUP(INDIRECT(ADDRESS(2,COLUMN())),OFFSET($BN$2,0,0,ROW()-1,60),ROW()-1,FALSE))</f>
        <v/>
      </c>
      <c r="BH124" t="str">
        <f ca="1">IF(AND(ISNUMBER($BH$321),$B$185=1),$BH$321,HLOOKUP(INDIRECT(ADDRESS(2,COLUMN())),OFFSET($BN$2,0,0,ROW()-1,60),ROW()-1,FALSE))</f>
        <v/>
      </c>
      <c r="BI124" t="str">
        <f ca="1">IF(AND(ISNUMBER($BI$321),$B$185=1),$BI$321,HLOOKUP(INDIRECT(ADDRESS(2,COLUMN())),OFFSET($BN$2,0,0,ROW()-1,60),ROW()-1,FALSE))</f>
        <v/>
      </c>
      <c r="BJ124" t="str">
        <f ca="1">IF(AND(ISNUMBER($BJ$321),$B$185=1),$BJ$321,HLOOKUP(INDIRECT(ADDRESS(2,COLUMN())),OFFSET($BN$2,0,0,ROW()-1,60),ROW()-1,FALSE))</f>
        <v/>
      </c>
      <c r="BK124" t="str">
        <f ca="1">IF(AND(ISNUMBER($BK$321),$B$185=1),$BK$321,HLOOKUP(INDIRECT(ADDRESS(2,COLUMN())),OFFSET($BN$2,0,0,ROW()-1,60),ROW()-1,FALSE))</f>
        <v/>
      </c>
      <c r="BL124" t="str">
        <f ca="1">IF(AND(ISNUMBER($BL$321),$B$185=1),$BL$321,HLOOKUP(INDIRECT(ADDRESS(2,COLUMN())),OFFSET($BN$2,0,0,ROW()-1,60),ROW()-1,FALSE))</f>
        <v/>
      </c>
      <c r="BM124" t="str">
        <f ca="1">IF(AND(ISNUMBER($BM$321),$B$185=1),$BM$321,HLOOKUP(INDIRECT(ADDRESS(2,COLUMN())),OFFSET($BN$2,0,0,ROW()-1,60),ROW()-1,FALSE))</f>
        <v/>
      </c>
      <c r="BN124" t="str">
        <f>""</f>
        <v/>
      </c>
      <c r="BO124" t="str">
        <f>""</f>
        <v/>
      </c>
      <c r="BP124" t="str">
        <f>""</f>
        <v/>
      </c>
      <c r="BQ124" t="str">
        <f>""</f>
        <v/>
      </c>
      <c r="BR124" t="str">
        <f>""</f>
        <v/>
      </c>
      <c r="BS124" t="str">
        <f>""</f>
        <v/>
      </c>
      <c r="BT124" t="str">
        <f>""</f>
        <v/>
      </c>
      <c r="BU124" t="str">
        <f>""</f>
        <v/>
      </c>
      <c r="BV124" t="str">
        <f>""</f>
        <v/>
      </c>
      <c r="BW124" t="str">
        <f>""</f>
        <v/>
      </c>
      <c r="BX124" t="str">
        <f>""</f>
        <v/>
      </c>
      <c r="BY124" t="str">
        <f>""</f>
        <v/>
      </c>
      <c r="BZ124" t="str">
        <f>""</f>
        <v/>
      </c>
      <c r="CA124" t="str">
        <f>""</f>
        <v/>
      </c>
      <c r="CB124" t="str">
        <f>""</f>
        <v/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  <c r="CH124" t="str">
        <f>""</f>
        <v/>
      </c>
      <c r="CI124" t="str">
        <f>""</f>
        <v/>
      </c>
      <c r="CJ124" t="str">
        <f>""</f>
        <v/>
      </c>
      <c r="CK124" t="str">
        <f>""</f>
        <v/>
      </c>
      <c r="CL124" t="str">
        <f>""</f>
        <v/>
      </c>
      <c r="CM124" t="str">
        <f>""</f>
        <v/>
      </c>
      <c r="CN124" t="str">
        <f>""</f>
        <v/>
      </c>
      <c r="CO124" t="str">
        <f>""</f>
        <v/>
      </c>
      <c r="CP124" t="str">
        <f>""</f>
        <v/>
      </c>
      <c r="CQ124" t="str">
        <f>""</f>
        <v/>
      </c>
      <c r="CR124" t="str">
        <f>""</f>
        <v/>
      </c>
      <c r="CS124" t="str">
        <f>""</f>
        <v/>
      </c>
      <c r="CT124" t="str">
        <f>""</f>
        <v/>
      </c>
      <c r="CU124" t="str">
        <f>""</f>
        <v/>
      </c>
      <c r="CV124" t="str">
        <f>""</f>
        <v/>
      </c>
      <c r="CW124" t="str">
        <f>""</f>
        <v/>
      </c>
      <c r="CX124" t="str">
        <f>""</f>
        <v/>
      </c>
      <c r="CY124" t="str">
        <f>""</f>
        <v/>
      </c>
      <c r="CZ124" t="str">
        <f>""</f>
        <v/>
      </c>
      <c r="DA124" t="str">
        <f>""</f>
        <v/>
      </c>
      <c r="DB124" t="str">
        <f>""</f>
        <v/>
      </c>
      <c r="DC124" t="str">
        <f>""</f>
        <v/>
      </c>
      <c r="DD124" t="str">
        <f>""</f>
        <v/>
      </c>
      <c r="DE124" t="str">
        <f>""</f>
        <v/>
      </c>
      <c r="DF124" t="str">
        <f>""</f>
        <v/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 t="str">
        <f>""</f>
        <v/>
      </c>
      <c r="DN124" t="str">
        <f>""</f>
        <v/>
      </c>
      <c r="DO124" t="str">
        <f>""</f>
        <v/>
      </c>
      <c r="DP124" t="str">
        <f>""</f>
        <v/>
      </c>
      <c r="DQ124" t="str">
        <f>""</f>
        <v/>
      </c>
      <c r="DR124" t="str">
        <f>""</f>
        <v/>
      </c>
      <c r="DS124" t="str">
        <f>""</f>
        <v/>
      </c>
      <c r="DT124" t="str">
        <f>""</f>
        <v/>
      </c>
      <c r="DU124" t="str">
        <f>""</f>
        <v/>
      </c>
    </row>
    <row r="125" spans="1:125">
      <c r="A125" t="str">
        <f>"    Zions Bancorp NA"</f>
        <v xml:space="preserve">    Zions Bancorp NA</v>
      </c>
      <c r="B125" t="str">
        <f>"ZION US Equity"</f>
        <v>ZION US Equity</v>
      </c>
      <c r="C125" t="str">
        <f t="shared" si="13"/>
        <v>BS960</v>
      </c>
      <c r="D125" t="str">
        <f t="shared" si="14"/>
        <v>BS_RESIDENT_MTG_SERVICED_OTHERS</v>
      </c>
      <c r="E125" t="str">
        <f t="shared" si="15"/>
        <v>Dynamic</v>
      </c>
      <c r="F125" t="str">
        <f ca="1">IF(AND(ISNUMBER($F$322),$B$185=1),$F$322,HLOOKUP(INDIRECT(ADDRESS(2,COLUMN())),OFFSET($BN$2,0,0,ROW()-1,60),ROW()-1,FALSE))</f>
        <v/>
      </c>
      <c r="G125" t="str">
        <f ca="1">IF(AND(ISNUMBER($G$322),$B$185=1),$G$322,HLOOKUP(INDIRECT(ADDRESS(2,COLUMN())),OFFSET($BN$2,0,0,ROW()-1,60),ROW()-1,FALSE))</f>
        <v/>
      </c>
      <c r="H125" t="str">
        <f ca="1">IF(AND(ISNUMBER($H$322),$B$185=1),$H$322,HLOOKUP(INDIRECT(ADDRESS(2,COLUMN())),OFFSET($BN$2,0,0,ROW()-1,60),ROW()-1,FALSE))</f>
        <v/>
      </c>
      <c r="I125" t="str">
        <f ca="1">IF(AND(ISNUMBER($I$322),$B$185=1),$I$322,HLOOKUP(INDIRECT(ADDRESS(2,COLUMN())),OFFSET($BN$2,0,0,ROW()-1,60),ROW()-1,FALSE))</f>
        <v/>
      </c>
      <c r="J125" t="str">
        <f ca="1">IF(AND(ISNUMBER($J$322),$B$185=1),$J$322,HLOOKUP(INDIRECT(ADDRESS(2,COLUMN())),OFFSET($BN$2,0,0,ROW()-1,60),ROW()-1,FALSE))</f>
        <v/>
      </c>
      <c r="K125" t="str">
        <f ca="1">IF(AND(ISNUMBER($K$322),$B$185=1),$K$322,HLOOKUP(INDIRECT(ADDRESS(2,COLUMN())),OFFSET($BN$2,0,0,ROW()-1,60),ROW()-1,FALSE))</f>
        <v/>
      </c>
      <c r="L125" t="str">
        <f ca="1">IF(AND(ISNUMBER($L$322),$B$185=1),$L$322,HLOOKUP(INDIRECT(ADDRESS(2,COLUMN())),OFFSET($BN$2,0,0,ROW()-1,60),ROW()-1,FALSE))</f>
        <v/>
      </c>
      <c r="M125" t="str">
        <f ca="1">IF(AND(ISNUMBER($M$322),$B$185=1),$M$322,HLOOKUP(INDIRECT(ADDRESS(2,COLUMN())),OFFSET($BN$2,0,0,ROW()-1,60),ROW()-1,FALSE))</f>
        <v/>
      </c>
      <c r="N125" t="str">
        <f ca="1">IF(AND(ISNUMBER($N$322),$B$185=1),$N$322,HLOOKUP(INDIRECT(ADDRESS(2,COLUMN())),OFFSET($BN$2,0,0,ROW()-1,60),ROW()-1,FALSE))</f>
        <v/>
      </c>
      <c r="O125" t="str">
        <f ca="1">IF(AND(ISNUMBER($O$322),$B$185=1),$O$322,HLOOKUP(INDIRECT(ADDRESS(2,COLUMN())),OFFSET($BN$2,0,0,ROW()-1,60),ROW()-1,FALSE))</f>
        <v/>
      </c>
      <c r="P125" t="str">
        <f ca="1">IF(AND(ISNUMBER($P$322),$B$185=1),$P$322,HLOOKUP(INDIRECT(ADDRESS(2,COLUMN())),OFFSET($BN$2,0,0,ROW()-1,60),ROW()-1,FALSE))</f>
        <v/>
      </c>
      <c r="Q125" t="str">
        <f ca="1">IF(AND(ISNUMBER($Q$322),$B$185=1),$Q$322,HLOOKUP(INDIRECT(ADDRESS(2,COLUMN())),OFFSET($BN$2,0,0,ROW()-1,60),ROW()-1,FALSE))</f>
        <v/>
      </c>
      <c r="R125" t="str">
        <f ca="1">IF(AND(ISNUMBER($R$322),$B$185=1),$R$322,HLOOKUP(INDIRECT(ADDRESS(2,COLUMN())),OFFSET($BN$2,0,0,ROW()-1,60),ROW()-1,FALSE))</f>
        <v/>
      </c>
      <c r="S125" t="str">
        <f ca="1">IF(AND(ISNUMBER($S$322),$B$185=1),$S$322,HLOOKUP(INDIRECT(ADDRESS(2,COLUMN())),OFFSET($BN$2,0,0,ROW()-1,60),ROW()-1,FALSE))</f>
        <v/>
      </c>
      <c r="T125" t="str">
        <f ca="1">IF(AND(ISNUMBER($T$322),$B$185=1),$T$322,HLOOKUP(INDIRECT(ADDRESS(2,COLUMN())),OFFSET($BN$2,0,0,ROW()-1,60),ROW()-1,FALSE))</f>
        <v/>
      </c>
      <c r="U125" t="str">
        <f ca="1">IF(AND(ISNUMBER($U$322),$B$185=1),$U$322,HLOOKUP(INDIRECT(ADDRESS(2,COLUMN())),OFFSET($BN$2,0,0,ROW()-1,60),ROW()-1,FALSE))</f>
        <v/>
      </c>
      <c r="V125" t="str">
        <f ca="1">IF(AND(ISNUMBER($V$322),$B$185=1),$V$322,HLOOKUP(INDIRECT(ADDRESS(2,COLUMN())),OFFSET($BN$2,0,0,ROW()-1,60),ROW()-1,FALSE))</f>
        <v/>
      </c>
      <c r="W125" t="str">
        <f ca="1">IF(AND(ISNUMBER($W$322),$B$185=1),$W$322,HLOOKUP(INDIRECT(ADDRESS(2,COLUMN())),OFFSET($BN$2,0,0,ROW()-1,60),ROW()-1,FALSE))</f>
        <v/>
      </c>
      <c r="X125" t="str">
        <f ca="1">IF(AND(ISNUMBER($X$322),$B$185=1),$X$322,HLOOKUP(INDIRECT(ADDRESS(2,COLUMN())),OFFSET($BN$2,0,0,ROW()-1,60),ROW()-1,FALSE))</f>
        <v/>
      </c>
      <c r="Y125" t="str">
        <f ca="1">IF(AND(ISNUMBER($Y$322),$B$185=1),$Y$322,HLOOKUP(INDIRECT(ADDRESS(2,COLUMN())),OFFSET($BN$2,0,0,ROW()-1,60),ROW()-1,FALSE))</f>
        <v/>
      </c>
      <c r="Z125" t="str">
        <f ca="1">IF(AND(ISNUMBER($Z$322),$B$185=1),$Z$322,HLOOKUP(INDIRECT(ADDRESS(2,COLUMN())),OFFSET($BN$2,0,0,ROW()-1,60),ROW()-1,FALSE))</f>
        <v/>
      </c>
      <c r="AA125" t="str">
        <f ca="1">IF(AND(ISNUMBER($AA$322),$B$185=1),$AA$322,HLOOKUP(INDIRECT(ADDRESS(2,COLUMN())),OFFSET($BN$2,0,0,ROW()-1,60),ROW()-1,FALSE))</f>
        <v/>
      </c>
      <c r="AB125" t="str">
        <f ca="1">IF(AND(ISNUMBER($AB$322),$B$185=1),$AB$322,HLOOKUP(INDIRECT(ADDRESS(2,COLUMN())),OFFSET($BN$2,0,0,ROW()-1,60),ROW()-1,FALSE))</f>
        <v/>
      </c>
      <c r="AC125" t="str">
        <f ca="1">IF(AND(ISNUMBER($AC$322),$B$185=1),$AC$322,HLOOKUP(INDIRECT(ADDRESS(2,COLUMN())),OFFSET($BN$2,0,0,ROW()-1,60),ROW()-1,FALSE))</f>
        <v/>
      </c>
      <c r="AD125" t="str">
        <f ca="1">IF(AND(ISNUMBER($AD$322),$B$185=1),$AD$322,HLOOKUP(INDIRECT(ADDRESS(2,COLUMN())),OFFSET($BN$2,0,0,ROW()-1,60),ROW()-1,FALSE))</f>
        <v/>
      </c>
      <c r="AE125" t="str">
        <f ca="1">IF(AND(ISNUMBER($AE$322),$B$185=1),$AE$322,HLOOKUP(INDIRECT(ADDRESS(2,COLUMN())),OFFSET($BN$2,0,0,ROW()-1,60),ROW()-1,FALSE))</f>
        <v/>
      </c>
      <c r="AF125" t="str">
        <f ca="1">IF(AND(ISNUMBER($AF$322),$B$185=1),$AF$322,HLOOKUP(INDIRECT(ADDRESS(2,COLUMN())),OFFSET($BN$2,0,0,ROW()-1,60),ROW()-1,FALSE))</f>
        <v/>
      </c>
      <c r="AG125" t="str">
        <f ca="1">IF(AND(ISNUMBER($AG$322),$B$185=1),$AG$322,HLOOKUP(INDIRECT(ADDRESS(2,COLUMN())),OFFSET($BN$2,0,0,ROW()-1,60),ROW()-1,FALSE))</f>
        <v/>
      </c>
      <c r="AH125" t="str">
        <f ca="1">IF(AND(ISNUMBER($AH$322),$B$185=1),$AH$322,HLOOKUP(INDIRECT(ADDRESS(2,COLUMN())),OFFSET($BN$2,0,0,ROW()-1,60),ROW()-1,FALSE))</f>
        <v/>
      </c>
      <c r="AI125" t="str">
        <f ca="1">IF(AND(ISNUMBER($AI$322),$B$185=1),$AI$322,HLOOKUP(INDIRECT(ADDRESS(2,COLUMN())),OFFSET($BN$2,0,0,ROW()-1,60),ROW()-1,FALSE))</f>
        <v/>
      </c>
      <c r="AJ125" t="str">
        <f ca="1">IF(AND(ISNUMBER($AJ$322),$B$185=1),$AJ$322,HLOOKUP(INDIRECT(ADDRESS(2,COLUMN())),OFFSET($BN$2,0,0,ROW()-1,60),ROW()-1,FALSE))</f>
        <v/>
      </c>
      <c r="AK125" t="str">
        <f ca="1">IF(AND(ISNUMBER($AK$322),$B$185=1),$AK$322,HLOOKUP(INDIRECT(ADDRESS(2,COLUMN())),OFFSET($BN$2,0,0,ROW()-1,60),ROW()-1,FALSE))</f>
        <v/>
      </c>
      <c r="AL125" t="str">
        <f ca="1">IF(AND(ISNUMBER($AL$322),$B$185=1),$AL$322,HLOOKUP(INDIRECT(ADDRESS(2,COLUMN())),OFFSET($BN$2,0,0,ROW()-1,60),ROW()-1,FALSE))</f>
        <v/>
      </c>
      <c r="AM125" t="str">
        <f ca="1">IF(AND(ISNUMBER($AM$322),$B$185=1),$AM$322,HLOOKUP(INDIRECT(ADDRESS(2,COLUMN())),OFFSET($BN$2,0,0,ROW()-1,60),ROW()-1,FALSE))</f>
        <v/>
      </c>
      <c r="AN125" t="str">
        <f ca="1">IF(AND(ISNUMBER($AN$322),$B$185=1),$AN$322,HLOOKUP(INDIRECT(ADDRESS(2,COLUMN())),OFFSET($BN$2,0,0,ROW()-1,60),ROW()-1,FALSE))</f>
        <v/>
      </c>
      <c r="AO125" t="str">
        <f ca="1">IF(AND(ISNUMBER($AO$322),$B$185=1),$AO$322,HLOOKUP(INDIRECT(ADDRESS(2,COLUMN())),OFFSET($BN$2,0,0,ROW()-1,60),ROW()-1,FALSE))</f>
        <v/>
      </c>
      <c r="AP125" t="str">
        <f ca="1">IF(AND(ISNUMBER($AP$322),$B$185=1),$AP$322,HLOOKUP(INDIRECT(ADDRESS(2,COLUMN())),OFFSET($BN$2,0,0,ROW()-1,60),ROW()-1,FALSE))</f>
        <v/>
      </c>
      <c r="AQ125" t="str">
        <f ca="1">IF(AND(ISNUMBER($AQ$322),$B$185=1),$AQ$322,HLOOKUP(INDIRECT(ADDRESS(2,COLUMN())),OFFSET($BN$2,0,0,ROW()-1,60),ROW()-1,FALSE))</f>
        <v/>
      </c>
      <c r="AR125" t="str">
        <f ca="1">IF(AND(ISNUMBER($AR$322),$B$185=1),$AR$322,HLOOKUP(INDIRECT(ADDRESS(2,COLUMN())),OFFSET($BN$2,0,0,ROW()-1,60),ROW()-1,FALSE))</f>
        <v/>
      </c>
      <c r="AS125" t="str">
        <f ca="1">IF(AND(ISNUMBER($AS$322),$B$185=1),$AS$322,HLOOKUP(INDIRECT(ADDRESS(2,COLUMN())),OFFSET($BN$2,0,0,ROW()-1,60),ROW()-1,FALSE))</f>
        <v/>
      </c>
      <c r="AT125" t="str">
        <f ca="1">IF(AND(ISNUMBER($AT$322),$B$185=1),$AT$322,HLOOKUP(INDIRECT(ADDRESS(2,COLUMN())),OFFSET($BN$2,0,0,ROW()-1,60),ROW()-1,FALSE))</f>
        <v/>
      </c>
      <c r="AU125" t="str">
        <f ca="1">IF(AND(ISNUMBER($AU$322),$B$185=1),$AU$322,HLOOKUP(INDIRECT(ADDRESS(2,COLUMN())),OFFSET($BN$2,0,0,ROW()-1,60),ROW()-1,FALSE))</f>
        <v/>
      </c>
      <c r="AV125" t="str">
        <f ca="1">IF(AND(ISNUMBER($AV$322),$B$185=1),$AV$322,HLOOKUP(INDIRECT(ADDRESS(2,COLUMN())),OFFSET($BN$2,0,0,ROW()-1,60),ROW()-1,FALSE))</f>
        <v/>
      </c>
      <c r="AW125" t="str">
        <f ca="1">IF(AND(ISNUMBER($AW$322),$B$185=1),$AW$322,HLOOKUP(INDIRECT(ADDRESS(2,COLUMN())),OFFSET($BN$2,0,0,ROW()-1,60),ROW()-1,FALSE))</f>
        <v/>
      </c>
      <c r="AX125" t="str">
        <f ca="1">IF(AND(ISNUMBER($AX$322),$B$185=1),$AX$322,HLOOKUP(INDIRECT(ADDRESS(2,COLUMN())),OFFSET($BN$2,0,0,ROW()-1,60),ROW()-1,FALSE))</f>
        <v/>
      </c>
      <c r="AY125" t="str">
        <f ca="1">IF(AND(ISNUMBER($AY$322),$B$185=1),$AY$322,HLOOKUP(INDIRECT(ADDRESS(2,COLUMN())),OFFSET($BN$2,0,0,ROW()-1,60),ROW()-1,FALSE))</f>
        <v/>
      </c>
      <c r="AZ125" t="str">
        <f ca="1">IF(AND(ISNUMBER($AZ$322),$B$185=1),$AZ$322,HLOOKUP(INDIRECT(ADDRESS(2,COLUMN())),OFFSET($BN$2,0,0,ROW()-1,60),ROW()-1,FALSE))</f>
        <v/>
      </c>
      <c r="BA125" t="str">
        <f ca="1">IF(AND(ISNUMBER($BA$322),$B$185=1),$BA$322,HLOOKUP(INDIRECT(ADDRESS(2,COLUMN())),OFFSET($BN$2,0,0,ROW()-1,60),ROW()-1,FALSE))</f>
        <v/>
      </c>
      <c r="BB125" t="str">
        <f ca="1">IF(AND(ISNUMBER($BB$322),$B$185=1),$BB$322,HLOOKUP(INDIRECT(ADDRESS(2,COLUMN())),OFFSET($BN$2,0,0,ROW()-1,60),ROW()-1,FALSE))</f>
        <v/>
      </c>
      <c r="BC125" t="str">
        <f ca="1">IF(AND(ISNUMBER($BC$322),$B$185=1),$BC$322,HLOOKUP(INDIRECT(ADDRESS(2,COLUMN())),OFFSET($BN$2,0,0,ROW()-1,60),ROW()-1,FALSE))</f>
        <v/>
      </c>
      <c r="BD125" t="str">
        <f ca="1">IF(AND(ISNUMBER($BD$322),$B$185=1),$BD$322,HLOOKUP(INDIRECT(ADDRESS(2,COLUMN())),OFFSET($BN$2,0,0,ROW()-1,60),ROW()-1,FALSE))</f>
        <v/>
      </c>
      <c r="BE125" t="str">
        <f ca="1">IF(AND(ISNUMBER($BE$322),$B$185=1),$BE$322,HLOOKUP(INDIRECT(ADDRESS(2,COLUMN())),OFFSET($BN$2,0,0,ROW()-1,60),ROW()-1,FALSE))</f>
        <v/>
      </c>
      <c r="BF125" t="str">
        <f ca="1">IF(AND(ISNUMBER($BF$322),$B$185=1),$BF$322,HLOOKUP(INDIRECT(ADDRESS(2,COLUMN())),OFFSET($BN$2,0,0,ROW()-1,60),ROW()-1,FALSE))</f>
        <v/>
      </c>
      <c r="BG125" t="str">
        <f ca="1">IF(AND(ISNUMBER($BG$322),$B$185=1),$BG$322,HLOOKUP(INDIRECT(ADDRESS(2,COLUMN())),OFFSET($BN$2,0,0,ROW()-1,60),ROW()-1,FALSE))</f>
        <v/>
      </c>
      <c r="BH125" t="str">
        <f ca="1">IF(AND(ISNUMBER($BH$322),$B$185=1),$BH$322,HLOOKUP(INDIRECT(ADDRESS(2,COLUMN())),OFFSET($BN$2,0,0,ROW()-1,60),ROW()-1,FALSE))</f>
        <v/>
      </c>
      <c r="BI125" t="str">
        <f ca="1">IF(AND(ISNUMBER($BI$322),$B$185=1),$BI$322,HLOOKUP(INDIRECT(ADDRESS(2,COLUMN())),OFFSET($BN$2,0,0,ROW()-1,60),ROW()-1,FALSE))</f>
        <v/>
      </c>
      <c r="BJ125" t="str">
        <f ca="1">IF(AND(ISNUMBER($BJ$322),$B$185=1),$BJ$322,HLOOKUP(INDIRECT(ADDRESS(2,COLUMN())),OFFSET($BN$2,0,0,ROW()-1,60),ROW()-1,FALSE))</f>
        <v/>
      </c>
      <c r="BK125" t="str">
        <f ca="1">IF(AND(ISNUMBER($BK$322),$B$185=1),$BK$322,HLOOKUP(INDIRECT(ADDRESS(2,COLUMN())),OFFSET($BN$2,0,0,ROW()-1,60),ROW()-1,FALSE))</f>
        <v/>
      </c>
      <c r="BL125" t="str">
        <f ca="1">IF(AND(ISNUMBER($BL$322),$B$185=1),$BL$322,HLOOKUP(INDIRECT(ADDRESS(2,COLUMN())),OFFSET($BN$2,0,0,ROW()-1,60),ROW()-1,FALSE))</f>
        <v/>
      </c>
      <c r="BM125" t="str">
        <f ca="1">IF(AND(ISNUMBER($BM$322),$B$185=1),$BM$322,HLOOKUP(INDIRECT(ADDRESS(2,COLUMN())),OFFSET($BN$2,0,0,ROW()-1,60),ROW()-1,FALSE))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>
      <c r="A126" t="str">
        <f>"Commercial Mortgage Servicing Portfolio"</f>
        <v>Commercial Mortgage Servicing Portfolio</v>
      </c>
      <c r="B126" t="str">
        <f>""</f>
        <v/>
      </c>
      <c r="E126" t="str">
        <f>"Sum"</f>
        <v>Sum</v>
      </c>
      <c r="F126">
        <f ca="1">IF(ISERROR(IF(SUM($F$127:$F$147) = 0, "", SUM($F$127:$F$147))), "", (IF(SUM($F$127:$F$147) = 0, "", SUM($F$127:$F$147))))</f>
        <v>1079633</v>
      </c>
      <c r="G126">
        <f ca="1">IF(ISERROR(IF(SUM($G$127:$G$147) = 0, "", SUM($G$127:$G$147))), "", (IF(SUM($G$127:$G$147) = 0, "", SUM($G$127:$G$147))))</f>
        <v>1216387</v>
      </c>
      <c r="H126">
        <f ca="1">IF(ISERROR(IF(SUM($H$127:$H$147) = 0, "", SUM($H$127:$H$147))), "", (IF(SUM($H$127:$H$147) = 0, "", SUM($H$127:$H$147))))</f>
        <v>1202826</v>
      </c>
      <c r="I126">
        <f ca="1">IF(ISERROR(IF(SUM($I$127:$I$147) = 0, "", SUM($I$127:$I$147))), "", (IF(SUM($I$127:$I$147) = 0, "", SUM($I$127:$I$147))))</f>
        <v>1176152</v>
      </c>
      <c r="J126">
        <f ca="1">IF(ISERROR(IF(SUM($J$127:$J$147) = 0, "", SUM($J$127:$J$147))), "", (IF(SUM($J$127:$J$147) = 0, "", SUM($J$127:$J$147))))</f>
        <v>1038449</v>
      </c>
      <c r="K126">
        <f ca="1">IF(ISERROR(IF(SUM($K$127:$K$147) = 0, "", SUM($K$127:$K$147))), "", (IF(SUM($K$127:$K$147) = 0, "", SUM($K$127:$K$147))))</f>
        <v>1183373</v>
      </c>
      <c r="L126">
        <f ca="1">IF(ISERROR(IF(SUM($L$127:$L$147) = 0, "", SUM($L$127:$L$147))), "", (IF(SUM($L$127:$L$147) = 0, "", SUM($L$127:$L$147))))</f>
        <v>1186396</v>
      </c>
      <c r="M126">
        <f ca="1">IF(ISERROR(IF(SUM($M$127:$M$147) = 0, "", SUM($M$127:$M$147))), "", (IF(SUM($M$127:$M$147) = 0, "", SUM($M$127:$M$147))))</f>
        <v>1195865</v>
      </c>
      <c r="N126">
        <f ca="1">IF(ISERROR(IF(SUM($N$127:$N$147) = 0, "", SUM($N$127:$N$147))), "", (IF(SUM($N$127:$N$147) = 0, "", SUM($N$127:$N$147))))</f>
        <v>1198478</v>
      </c>
      <c r="O126">
        <f ca="1">IF(ISERROR(IF(SUM($O$127:$O$147) = 0, "", SUM($O$127:$O$147))), "", (IF(SUM($O$127:$O$147) = 0, "", SUM($O$127:$O$147))))</f>
        <v>1205342</v>
      </c>
      <c r="P126">
        <f ca="1">IF(ISERROR(IF(SUM($P$127:$P$147) = 0, "", SUM($P$127:$P$147))), "", (IF(SUM($P$127:$P$147) = 0, "", SUM($P$127:$P$147))))</f>
        <v>1208974</v>
      </c>
      <c r="Q126">
        <f ca="1">IF(ISERROR(IF(SUM($Q$127:$Q$147) = 0, "", SUM($Q$127:$Q$147))), "", (IF(SUM($Q$127:$Q$147) = 0, "", SUM($Q$127:$Q$147))))</f>
        <v>1199371</v>
      </c>
      <c r="R126">
        <f ca="1">IF(ISERROR(IF(SUM($R$127:$R$147) = 0, "", SUM($R$127:$R$147))), "", (IF(SUM($R$127:$R$147) = 0, "", SUM($R$127:$R$147))))</f>
        <v>1171131</v>
      </c>
      <c r="S126">
        <f ca="1">IF(ISERROR(IF(SUM($S$127:$S$147) = 0, "", SUM($S$127:$S$147))), "", (IF(SUM($S$127:$S$147) = 0, "", SUM($S$127:$S$147))))</f>
        <v>1133091</v>
      </c>
      <c r="T126">
        <f ca="1">IF(ISERROR(IF(SUM($T$127:$T$147) = 0, "", SUM($T$127:$T$147))), "", (IF(SUM($T$127:$T$147) = 0, "", SUM($T$127:$T$147))))</f>
        <v>1107215</v>
      </c>
      <c r="U126">
        <f ca="1">IF(ISERROR(IF(SUM($U$127:$U$147) = 0, "", SUM($U$127:$U$147))), "", (IF(SUM($U$127:$U$147) = 0, "", SUM($U$127:$U$147))))</f>
        <v>1089908</v>
      </c>
      <c r="V126">
        <f ca="1">IF(ISERROR(IF(SUM($V$127:$V$147) = 0, "", SUM($V$127:$V$147))), "", (IF(SUM($V$127:$V$147) = 0, "", SUM($V$127:$V$147))))</f>
        <v>1077016</v>
      </c>
      <c r="W126">
        <f ca="1">IF(ISERROR(IF(SUM($W$127:$W$147) = 0, "", SUM($W$127:$W$147))), "", (IF(SUM($W$127:$W$147) = 0, "", SUM($W$127:$W$147))))</f>
        <v>1082110</v>
      </c>
      <c r="X126">
        <f ca="1">IF(ISERROR(IF(SUM($X$127:$X$147) = 0, "", SUM($X$127:$X$147))), "", (IF(SUM($X$127:$X$147) = 0, "", SUM($X$127:$X$147))))</f>
        <v>1060509</v>
      </c>
      <c r="Y126">
        <f ca="1">IF(ISERROR(IF(SUM($Y$127:$Y$147) = 0, "", SUM($Y$127:$Y$147))), "", (IF(SUM($Y$127:$Y$147) = 0, "", SUM($Y$127:$Y$147))))</f>
        <v>697000</v>
      </c>
      <c r="Z126">
        <f ca="1">IF(ISERROR(IF(SUM($Z$127:$Z$147) = 0, "", SUM($Z$127:$Z$147))), "", (IF(SUM($Z$127:$Z$147) = 0, "", SUM($Z$127:$Z$147))))</f>
        <v>1046186</v>
      </c>
      <c r="AA126">
        <f ca="1">IF(ISERROR(IF(SUM($AA$127:$AA$147) = 0, "", SUM($AA$127:$AA$147))), "", (IF(SUM($AA$127:$AA$147) = 0, "", SUM($AA$127:$AA$147))))</f>
        <v>999152</v>
      </c>
      <c r="AB126">
        <f ca="1">IF(ISERROR(IF(SUM($AB$127:$AB$147) = 0, "", SUM($AB$127:$AB$147))), "", (IF(SUM($AB$127:$AB$147) = 0, "", SUM($AB$127:$AB$147))))</f>
        <v>990792</v>
      </c>
      <c r="AC126">
        <f ca="1">IF(ISERROR(IF(SUM($AC$127:$AC$147) = 0, "", SUM($AC$127:$AC$147))), "", (IF(SUM($AC$127:$AC$147) = 0, "", SUM($AC$127:$AC$147))))</f>
        <v>983989</v>
      </c>
      <c r="AD126">
        <f ca="1">IF(ISERROR(IF(SUM($AD$127:$AD$147) = 0, "", SUM($AD$127:$AD$147))), "", (IF(SUM($AD$127:$AD$147) = 0, "", SUM($AD$127:$AD$147))))</f>
        <v>291831</v>
      </c>
      <c r="AE126">
        <f ca="1">IF(ISERROR(IF(SUM($AE$127:$AE$147) = 0, "", SUM($AE$127:$AE$147))), "", (IF(SUM($AE$127:$AE$147) = 0, "", SUM($AE$127:$AE$147))))</f>
        <v>929771</v>
      </c>
      <c r="AF126">
        <f ca="1">IF(ISERROR(IF(SUM($AF$127:$AF$147) = 0, "", SUM($AF$127:$AF$147))), "", (IF(SUM($AF$127:$AF$147) = 0, "", SUM($AF$127:$AF$147))))</f>
        <v>908062</v>
      </c>
      <c r="AG126">
        <f ca="1">IF(ISERROR(IF(SUM($AG$127:$AG$147) = 0, "", SUM($AG$127:$AG$147))), "", (IF(SUM($AG$127:$AG$147) = 0, "", SUM($AG$127:$AG$147))))</f>
        <v>891089</v>
      </c>
      <c r="AH126">
        <f ca="1">IF(ISERROR(IF(SUM($AH$127:$AH$147) = 0, "", SUM($AH$127:$AH$147))), "", (IF(SUM($AH$127:$AH$147) = 0, "", SUM($AH$127:$AH$147))))</f>
        <v>869718</v>
      </c>
      <c r="AI126">
        <f ca="1">IF(ISERROR(IF(SUM($AI$127:$AI$147) = 0, "", SUM($AI$127:$AI$147))), "", (IF(SUM($AI$127:$AI$147) = 0, "", SUM($AI$127:$AI$147))))</f>
        <v>1353361</v>
      </c>
      <c r="AJ126">
        <f ca="1">IF(ISERROR(IF(SUM($AJ$127:$AJ$147) = 0, "", SUM($AJ$127:$AJ$147))), "", (IF(SUM($AJ$127:$AJ$147) = 0, "", SUM($AJ$127:$AJ$147))))</f>
        <v>1333667</v>
      </c>
      <c r="AK126">
        <f ca="1">IF(ISERROR(IF(SUM($AK$127:$AK$147) = 0, "", SUM($AK$127:$AK$147))), "", (IF(SUM($AK$127:$AK$147) = 0, "", SUM($AK$127:$AK$147))))</f>
        <v>1321387</v>
      </c>
      <c r="AL126">
        <f ca="1">IF(ISERROR(IF(SUM($AL$127:$AL$147) = 0, "", SUM($AL$127:$AL$147))), "", (IF(SUM($AL$127:$AL$147) = 0, "", SUM($AL$127:$AL$147))))</f>
        <v>837135</v>
      </c>
      <c r="AM126">
        <f ca="1">IF(ISERROR(IF(SUM($AM$127:$AM$147) = 0, "", SUM($AM$127:$AM$147))), "", (IF(SUM($AM$127:$AM$147) = 0, "", SUM($AM$127:$AM$147))))</f>
        <v>1289998</v>
      </c>
      <c r="AN126">
        <f ca="1">IF(ISERROR(IF(SUM($AN$127:$AN$147) = 0, "", SUM($AN$127:$AN$147))), "", (IF(SUM($AN$127:$AN$147) = 0, "", SUM($AN$127:$AN$147))))</f>
        <v>1286879</v>
      </c>
      <c r="AO126">
        <f ca="1">IF(ISERROR(IF(SUM($AO$127:$AO$147) = 0, "", SUM($AO$127:$AO$147))), "", (IF(SUM($AO$127:$AO$147) = 0, "", SUM($AO$127:$AO$147))))</f>
        <v>1285756</v>
      </c>
      <c r="AP126">
        <f ca="1">IF(ISERROR(IF(SUM($AP$127:$AP$147) = 0, "", SUM($AP$127:$AP$147))), "", (IF(SUM($AP$127:$AP$147) = 0, "", SUM($AP$127:$AP$147))))</f>
        <v>1265274</v>
      </c>
      <c r="AQ126">
        <f ca="1">IF(ISERROR(IF(SUM($AQ$127:$AQ$147) = 0, "", SUM($AQ$127:$AQ$147))), "", (IF(SUM($AQ$127:$AQ$147) = 0, "", SUM($AQ$127:$AQ$147))))</f>
        <v>1248410</v>
      </c>
      <c r="AR126">
        <f ca="1">IF(ISERROR(IF(SUM($AR$127:$AR$147) = 0, "", SUM($AR$127:$AR$147))), "", (IF(SUM($AR$127:$AR$147) = 0, "", SUM($AR$127:$AR$147))))</f>
        <v>1231315</v>
      </c>
      <c r="AS126">
        <f ca="1">IF(ISERROR(IF(SUM($AS$127:$AS$147) = 0, "", SUM($AS$127:$AS$147))), "", (IF(SUM($AS$127:$AS$147) = 0, "", SUM($AS$127:$AS$147))))</f>
        <v>1171397</v>
      </c>
      <c r="AT126">
        <f ca="1">IF(ISERROR(IF(SUM($AT$127:$AT$147) = 0, "", SUM($AT$127:$AT$147))), "", (IF(SUM($AT$127:$AT$147) = 0, "", SUM($AT$127:$AT$147))))</f>
        <v>1102407</v>
      </c>
      <c r="AU126">
        <f ca="1">IF(ISERROR(IF(SUM($AU$127:$AU$147) = 0, "", SUM($AU$127:$AU$147))), "", (IF(SUM($AU$127:$AU$147) = 0, "", SUM($AU$127:$AU$147))))</f>
        <v>1096293</v>
      </c>
      <c r="AV126">
        <f ca="1">IF(ISERROR(IF(SUM($AV$127:$AV$147) = 0, "", SUM($AV$127:$AV$147))), "", (IF(SUM($AV$127:$AV$147) = 0, "", SUM($AV$127:$AV$147))))</f>
        <v>1077194</v>
      </c>
      <c r="AW126">
        <f ca="1">IF(ISERROR(IF(SUM($AW$127:$AW$147) = 0, "", SUM($AW$127:$AW$147))), "", (IF(SUM($AW$127:$AW$147) = 0, "", SUM($AW$127:$AW$147))))</f>
        <v>1026601</v>
      </c>
      <c r="AX126">
        <f ca="1">IF(ISERROR(IF(SUM($AX$127:$AX$147) = 0, "", SUM($AX$127:$AX$147))), "", (IF(SUM($AX$127:$AX$147) = 0, "", SUM($AX$127:$AX$147))))</f>
        <v>1057731</v>
      </c>
      <c r="AY126">
        <f ca="1">IF(ISERROR(IF(SUM($AY$127:$AY$147) = 0, "", SUM($AY$127:$AY$147))), "", (IF(SUM($AY$127:$AY$147) = 0, "", SUM($AY$127:$AY$147))))</f>
        <v>1030464</v>
      </c>
      <c r="AZ126">
        <f ca="1">IF(ISERROR(IF(SUM($AZ$127:$AZ$147) = 0, "", SUM($AZ$127:$AZ$147))), "", (IF(SUM($AZ$127:$AZ$147) = 0, "", SUM($AZ$127:$AZ$147))))</f>
        <v>991398</v>
      </c>
      <c r="BA126">
        <f ca="1">IF(ISERROR(IF(SUM($BA$127:$BA$147) = 0, "", SUM($BA$127:$BA$147))), "", (IF(SUM($BA$127:$BA$147) = 0, "", SUM($BA$127:$BA$147))))</f>
        <v>923173</v>
      </c>
      <c r="BB126">
        <f ca="1">IF(ISERROR(IF(SUM($BB$127:$BB$147) = 0, "", SUM($BB$127:$BB$147))), "", (IF(SUM($BB$127:$BB$147) = 0, "", SUM($BB$127:$BB$147))))</f>
        <v>916630</v>
      </c>
      <c r="BC126">
        <f ca="1">IF(ISERROR(IF(SUM($BC$127:$BC$147) = 0, "", SUM($BC$127:$BC$147))), "", (IF(SUM($BC$127:$BC$147) = 0, "", SUM($BC$127:$BC$147))))</f>
        <v>886309</v>
      </c>
      <c r="BD126">
        <f ca="1">IF(ISERROR(IF(SUM($BD$127:$BD$147) = 0, "", SUM($BD$127:$BD$147))), "", (IF(SUM($BD$127:$BD$147) = 0, "", SUM($BD$127:$BD$147))))</f>
        <v>886329</v>
      </c>
      <c r="BE126">
        <f ca="1">IF(ISERROR(IF(SUM($BE$127:$BE$147) = 0, "", SUM($BE$127:$BE$147))), "", (IF(SUM($BE$127:$BE$147) = 0, "", SUM($BE$127:$BE$147))))</f>
        <v>890519</v>
      </c>
      <c r="BF126">
        <f ca="1">IF(ISERROR(IF(SUM($BF$127:$BF$147) = 0, "", SUM($BF$127:$BF$147))), "", (IF(SUM($BF$127:$BF$147) = 0, "", SUM($BF$127:$BF$147))))</f>
        <v>884608</v>
      </c>
      <c r="BG126">
        <f ca="1">IF(ISERROR(IF(SUM($BG$127:$BG$147) = 0, "", SUM($BG$127:$BG$147))), "", (IF(SUM($BG$127:$BG$147) = 0, "", SUM($BG$127:$BG$147))))</f>
        <v>888734</v>
      </c>
      <c r="BH126">
        <f ca="1">IF(ISERROR(IF(SUM($BH$127:$BH$147) = 0, "", SUM($BH$127:$BH$147))), "", (IF(SUM($BH$127:$BH$147) = 0, "", SUM($BH$127:$BH$147))))</f>
        <v>892077</v>
      </c>
      <c r="BI126">
        <f ca="1">IF(ISERROR(IF(SUM($BI$127:$BI$147) = 0, "", SUM($BI$127:$BI$147))), "", (IF(SUM($BI$127:$BI$147) = 0, "", SUM($BI$127:$BI$147))))</f>
        <v>902369</v>
      </c>
      <c r="BJ126">
        <f ca="1">IF(ISERROR(IF(SUM($BJ$127:$BJ$147) = 0, "", SUM($BJ$127:$BJ$147))), "", (IF(SUM($BJ$127:$BJ$147) = 0, "", SUM($BJ$127:$BJ$147))))</f>
        <v>903071</v>
      </c>
      <c r="BK126">
        <f ca="1">IF(ISERROR(IF(SUM($BK$127:$BK$147) = 0, "", SUM($BK$127:$BK$147))), "", (IF(SUM($BK$127:$BK$147) = 0, "", SUM($BK$127:$BK$147))))</f>
        <v>930294</v>
      </c>
      <c r="BL126">
        <f ca="1">IF(ISERROR(IF(SUM($BL$127:$BL$147) = 0, "", SUM($BL$127:$BL$147))), "", (IF(SUM($BL$127:$BL$147) = 0, "", SUM($BL$127:$BL$147))))</f>
        <v>936495</v>
      </c>
      <c r="BM126">
        <f ca="1">IF(ISERROR(IF(SUM($BM$127:$BM$147) = 0, "", SUM($BM$127:$BM$147))), "", (IF(SUM($BM$127:$BM$147) = 0, "", SUM($BM$127:$BM$147))))</f>
        <v>282000</v>
      </c>
      <c r="BN126">
        <f>1079633</f>
        <v>1079633</v>
      </c>
      <c r="BO126">
        <f>1216387</f>
        <v>1216387</v>
      </c>
      <c r="BP126">
        <f>1202826</f>
        <v>1202826</v>
      </c>
      <c r="BQ126">
        <f>1176152</f>
        <v>1176152</v>
      </c>
      <c r="BR126">
        <f>1038449</f>
        <v>1038449</v>
      </c>
      <c r="BS126">
        <f>1183373</f>
        <v>1183373</v>
      </c>
      <c r="BT126">
        <f>1186396</f>
        <v>1186396</v>
      </c>
      <c r="BU126">
        <f>1195865</f>
        <v>1195865</v>
      </c>
      <c r="BV126">
        <f>1198478</f>
        <v>1198478</v>
      </c>
      <c r="BW126">
        <f>1205342</f>
        <v>1205342</v>
      </c>
      <c r="BX126">
        <f>1208974</f>
        <v>1208974</v>
      </c>
      <c r="BY126">
        <f>1199371</f>
        <v>1199371</v>
      </c>
      <c r="BZ126">
        <f>1171131</f>
        <v>1171131</v>
      </c>
      <c r="CA126">
        <f>1133091</f>
        <v>1133091</v>
      </c>
      <c r="CB126">
        <f>1107215</f>
        <v>1107215</v>
      </c>
      <c r="CC126">
        <f>1089908</f>
        <v>1089908</v>
      </c>
      <c r="CD126">
        <f>1077016</f>
        <v>1077016</v>
      </c>
      <c r="CE126">
        <f>1082110</f>
        <v>1082110</v>
      </c>
      <c r="CF126">
        <f>1060509</f>
        <v>1060509</v>
      </c>
      <c r="CG126">
        <f>697000</f>
        <v>697000</v>
      </c>
      <c r="CH126">
        <f>1046186</f>
        <v>1046186</v>
      </c>
      <c r="CI126">
        <f>999152</f>
        <v>999152</v>
      </c>
      <c r="CJ126">
        <f>990792</f>
        <v>990792</v>
      </c>
      <c r="CK126">
        <f>983989</f>
        <v>983989</v>
      </c>
      <c r="CL126">
        <f>291831</f>
        <v>291831</v>
      </c>
      <c r="CM126">
        <f>929771</f>
        <v>929771</v>
      </c>
      <c r="CN126">
        <f>908062</f>
        <v>908062</v>
      </c>
      <c r="CO126">
        <f>891089</f>
        <v>891089</v>
      </c>
      <c r="CP126">
        <f>869718</f>
        <v>869718</v>
      </c>
      <c r="CQ126">
        <f>1353361</f>
        <v>1353361</v>
      </c>
      <c r="CR126">
        <f>1333667</f>
        <v>1333667</v>
      </c>
      <c r="CS126">
        <f>1321387</f>
        <v>1321387</v>
      </c>
      <c r="CT126">
        <f>837135</f>
        <v>837135</v>
      </c>
      <c r="CU126">
        <f>1289998</f>
        <v>1289998</v>
      </c>
      <c r="CV126">
        <f>1286879</f>
        <v>1286879</v>
      </c>
      <c r="CW126">
        <f>1285756</f>
        <v>1285756</v>
      </c>
      <c r="CX126">
        <f>1265274</f>
        <v>1265274</v>
      </c>
      <c r="CY126">
        <f>1248410</f>
        <v>1248410</v>
      </c>
      <c r="CZ126">
        <f>1231315</f>
        <v>1231315</v>
      </c>
      <c r="DA126">
        <f>1171397</f>
        <v>1171397</v>
      </c>
      <c r="DB126">
        <f>1102407</f>
        <v>1102407</v>
      </c>
      <c r="DC126">
        <f>1096293</f>
        <v>1096293</v>
      </c>
      <c r="DD126">
        <f>1077194</f>
        <v>1077194</v>
      </c>
      <c r="DE126">
        <f>1026601</f>
        <v>1026601</v>
      </c>
      <c r="DF126">
        <f>1057731</f>
        <v>1057731</v>
      </c>
      <c r="DG126">
        <f>1030464</f>
        <v>1030464</v>
      </c>
      <c r="DH126">
        <f>991398</f>
        <v>991398</v>
      </c>
      <c r="DI126">
        <f>923173</f>
        <v>923173</v>
      </c>
      <c r="DJ126">
        <f>916630</f>
        <v>916630</v>
      </c>
      <c r="DK126">
        <f>886309</f>
        <v>886309</v>
      </c>
      <c r="DL126">
        <f>886329</f>
        <v>886329</v>
      </c>
      <c r="DM126">
        <f>890519</f>
        <v>890519</v>
      </c>
      <c r="DN126">
        <f>884608</f>
        <v>884608</v>
      </c>
      <c r="DO126">
        <f>888734</f>
        <v>888734</v>
      </c>
      <c r="DP126">
        <f>892077</f>
        <v>892077</v>
      </c>
      <c r="DQ126">
        <f>902369</f>
        <v>902369</v>
      </c>
      <c r="DR126">
        <f>903071</f>
        <v>903071</v>
      </c>
      <c r="DS126">
        <f>930294</f>
        <v>930294</v>
      </c>
      <c r="DT126">
        <f>936495</f>
        <v>936495</v>
      </c>
      <c r="DU126">
        <f>282000</f>
        <v>282000</v>
      </c>
    </row>
    <row r="127" spans="1:125">
      <c r="A127" t="str">
        <f>"    Bank OZK"</f>
        <v xml:space="preserve">    Bank OZK</v>
      </c>
      <c r="B127" t="str">
        <f>"OZK US Equity"</f>
        <v>OZK US Equity</v>
      </c>
      <c r="C127" t="str">
        <f t="shared" ref="C127:C147" si="16">"BS965"</f>
        <v>BS965</v>
      </c>
      <c r="D127" t="str">
        <f t="shared" ref="D127:D147" si="17">"BS_COMML_MTG_SERVICING_PORTFOLIO"</f>
        <v>BS_COMML_MTG_SERVICING_PORTFOLIO</v>
      </c>
      <c r="E127" t="str">
        <f t="shared" ref="E127:E147" si="18">"Dynamic"</f>
        <v>Dynamic</v>
      </c>
      <c r="F127" t="str">
        <f ca="1">IF(AND(ISNUMBER($F$323),$B$185=1),$F$323,HLOOKUP(INDIRECT(ADDRESS(2,COLUMN())),OFFSET($BN$2,0,0,ROW()-1,60),ROW()-1,FALSE))</f>
        <v/>
      </c>
      <c r="G127" t="str">
        <f ca="1">IF(AND(ISNUMBER($G$323),$B$185=1),$G$323,HLOOKUP(INDIRECT(ADDRESS(2,COLUMN())),OFFSET($BN$2,0,0,ROW()-1,60),ROW()-1,FALSE))</f>
        <v/>
      </c>
      <c r="H127" t="str">
        <f ca="1">IF(AND(ISNUMBER($H$323),$B$185=1),$H$323,HLOOKUP(INDIRECT(ADDRESS(2,COLUMN())),OFFSET($BN$2,0,0,ROW()-1,60),ROW()-1,FALSE))</f>
        <v/>
      </c>
      <c r="I127" t="str">
        <f ca="1">IF(AND(ISNUMBER($I$323),$B$185=1),$I$323,HLOOKUP(INDIRECT(ADDRESS(2,COLUMN())),OFFSET($BN$2,0,0,ROW()-1,60),ROW()-1,FALSE))</f>
        <v/>
      </c>
      <c r="J127" t="str">
        <f ca="1">IF(AND(ISNUMBER($J$323),$B$185=1),$J$323,HLOOKUP(INDIRECT(ADDRESS(2,COLUMN())),OFFSET($BN$2,0,0,ROW()-1,60),ROW()-1,FALSE))</f>
        <v/>
      </c>
      <c r="K127" t="str">
        <f ca="1">IF(AND(ISNUMBER($K$323),$B$185=1),$K$323,HLOOKUP(INDIRECT(ADDRESS(2,COLUMN())),OFFSET($BN$2,0,0,ROW()-1,60),ROW()-1,FALSE))</f>
        <v/>
      </c>
      <c r="L127" t="str">
        <f ca="1">IF(AND(ISNUMBER($L$323),$B$185=1),$L$323,HLOOKUP(INDIRECT(ADDRESS(2,COLUMN())),OFFSET($BN$2,0,0,ROW()-1,60),ROW()-1,FALSE))</f>
        <v/>
      </c>
      <c r="M127" t="str">
        <f ca="1">IF(AND(ISNUMBER($M$323),$B$185=1),$M$323,HLOOKUP(INDIRECT(ADDRESS(2,COLUMN())),OFFSET($BN$2,0,0,ROW()-1,60),ROW()-1,FALSE))</f>
        <v/>
      </c>
      <c r="N127" t="str">
        <f ca="1">IF(AND(ISNUMBER($N$323),$B$185=1),$N$323,HLOOKUP(INDIRECT(ADDRESS(2,COLUMN())),OFFSET($BN$2,0,0,ROW()-1,60),ROW()-1,FALSE))</f>
        <v/>
      </c>
      <c r="O127" t="str">
        <f ca="1">IF(AND(ISNUMBER($O$323),$B$185=1),$O$323,HLOOKUP(INDIRECT(ADDRESS(2,COLUMN())),OFFSET($BN$2,0,0,ROW()-1,60),ROW()-1,FALSE))</f>
        <v/>
      </c>
      <c r="P127" t="str">
        <f ca="1">IF(AND(ISNUMBER($P$323),$B$185=1),$P$323,HLOOKUP(INDIRECT(ADDRESS(2,COLUMN())),OFFSET($BN$2,0,0,ROW()-1,60),ROW()-1,FALSE))</f>
        <v/>
      </c>
      <c r="Q127" t="str">
        <f ca="1">IF(AND(ISNUMBER($Q$323),$B$185=1),$Q$323,HLOOKUP(INDIRECT(ADDRESS(2,COLUMN())),OFFSET($BN$2,0,0,ROW()-1,60),ROW()-1,FALSE))</f>
        <v/>
      </c>
      <c r="R127" t="str">
        <f ca="1">IF(AND(ISNUMBER($R$323),$B$185=1),$R$323,HLOOKUP(INDIRECT(ADDRESS(2,COLUMN())),OFFSET($BN$2,0,0,ROW()-1,60),ROW()-1,FALSE))</f>
        <v/>
      </c>
      <c r="S127" t="str">
        <f ca="1">IF(AND(ISNUMBER($S$323),$B$185=1),$S$323,HLOOKUP(INDIRECT(ADDRESS(2,COLUMN())),OFFSET($BN$2,0,0,ROW()-1,60),ROW()-1,FALSE))</f>
        <v/>
      </c>
      <c r="T127" t="str">
        <f ca="1">IF(AND(ISNUMBER($T$323),$B$185=1),$T$323,HLOOKUP(INDIRECT(ADDRESS(2,COLUMN())),OFFSET($BN$2,0,0,ROW()-1,60),ROW()-1,FALSE))</f>
        <v/>
      </c>
      <c r="U127" t="str">
        <f ca="1">IF(AND(ISNUMBER($U$323),$B$185=1),$U$323,HLOOKUP(INDIRECT(ADDRESS(2,COLUMN())),OFFSET($BN$2,0,0,ROW()-1,60),ROW()-1,FALSE))</f>
        <v/>
      </c>
      <c r="V127" t="str">
        <f ca="1">IF(AND(ISNUMBER($V$323),$B$185=1),$V$323,HLOOKUP(INDIRECT(ADDRESS(2,COLUMN())),OFFSET($BN$2,0,0,ROW()-1,60),ROW()-1,FALSE))</f>
        <v/>
      </c>
      <c r="W127" t="str">
        <f ca="1">IF(AND(ISNUMBER($W$323),$B$185=1),$W$323,HLOOKUP(INDIRECT(ADDRESS(2,COLUMN())),OFFSET($BN$2,0,0,ROW()-1,60),ROW()-1,FALSE))</f>
        <v/>
      </c>
      <c r="X127" t="str">
        <f ca="1">IF(AND(ISNUMBER($X$323),$B$185=1),$X$323,HLOOKUP(INDIRECT(ADDRESS(2,COLUMN())),OFFSET($BN$2,0,0,ROW()-1,60),ROW()-1,FALSE))</f>
        <v/>
      </c>
      <c r="Y127" t="str">
        <f ca="1">IF(AND(ISNUMBER($Y$323),$B$185=1),$Y$323,HLOOKUP(INDIRECT(ADDRESS(2,COLUMN())),OFFSET($BN$2,0,0,ROW()-1,60),ROW()-1,FALSE))</f>
        <v/>
      </c>
      <c r="Z127" t="str">
        <f ca="1">IF(AND(ISNUMBER($Z$323),$B$185=1),$Z$323,HLOOKUP(INDIRECT(ADDRESS(2,COLUMN())),OFFSET($BN$2,0,0,ROW()-1,60),ROW()-1,FALSE))</f>
        <v/>
      </c>
      <c r="AA127" t="str">
        <f ca="1">IF(AND(ISNUMBER($AA$323),$B$185=1),$AA$323,HLOOKUP(INDIRECT(ADDRESS(2,COLUMN())),OFFSET($BN$2,0,0,ROW()-1,60),ROW()-1,FALSE))</f>
        <v/>
      </c>
      <c r="AB127" t="str">
        <f ca="1">IF(AND(ISNUMBER($AB$323),$B$185=1),$AB$323,HLOOKUP(INDIRECT(ADDRESS(2,COLUMN())),OFFSET($BN$2,0,0,ROW()-1,60),ROW()-1,FALSE))</f>
        <v/>
      </c>
      <c r="AC127" t="str">
        <f ca="1">IF(AND(ISNUMBER($AC$323),$B$185=1),$AC$323,HLOOKUP(INDIRECT(ADDRESS(2,COLUMN())),OFFSET($BN$2,0,0,ROW()-1,60),ROW()-1,FALSE))</f>
        <v/>
      </c>
      <c r="AD127" t="str">
        <f ca="1">IF(AND(ISNUMBER($AD$323),$B$185=1),$AD$323,HLOOKUP(INDIRECT(ADDRESS(2,COLUMN())),OFFSET($BN$2,0,0,ROW()-1,60),ROW()-1,FALSE))</f>
        <v/>
      </c>
      <c r="AE127" t="str">
        <f ca="1">IF(AND(ISNUMBER($AE$323),$B$185=1),$AE$323,HLOOKUP(INDIRECT(ADDRESS(2,COLUMN())),OFFSET($BN$2,0,0,ROW()-1,60),ROW()-1,FALSE))</f>
        <v/>
      </c>
      <c r="AF127" t="str">
        <f ca="1">IF(AND(ISNUMBER($AF$323),$B$185=1),$AF$323,HLOOKUP(INDIRECT(ADDRESS(2,COLUMN())),OFFSET($BN$2,0,0,ROW()-1,60),ROW()-1,FALSE))</f>
        <v/>
      </c>
      <c r="AG127" t="str">
        <f ca="1">IF(AND(ISNUMBER($AG$323),$B$185=1),$AG$323,HLOOKUP(INDIRECT(ADDRESS(2,COLUMN())),OFFSET($BN$2,0,0,ROW()-1,60),ROW()-1,FALSE))</f>
        <v/>
      </c>
      <c r="AH127" t="str">
        <f ca="1">IF(AND(ISNUMBER($AH$323),$B$185=1),$AH$323,HLOOKUP(INDIRECT(ADDRESS(2,COLUMN())),OFFSET($BN$2,0,0,ROW()-1,60),ROW()-1,FALSE))</f>
        <v/>
      </c>
      <c r="AI127" t="str">
        <f ca="1">IF(AND(ISNUMBER($AI$323),$B$185=1),$AI$323,HLOOKUP(INDIRECT(ADDRESS(2,COLUMN())),OFFSET($BN$2,0,0,ROW()-1,60),ROW()-1,FALSE))</f>
        <v/>
      </c>
      <c r="AJ127" t="str">
        <f ca="1">IF(AND(ISNUMBER($AJ$323),$B$185=1),$AJ$323,HLOOKUP(INDIRECT(ADDRESS(2,COLUMN())),OFFSET($BN$2,0,0,ROW()-1,60),ROW()-1,FALSE))</f>
        <v/>
      </c>
      <c r="AK127" t="str">
        <f ca="1">IF(AND(ISNUMBER($AK$323),$B$185=1),$AK$323,HLOOKUP(INDIRECT(ADDRESS(2,COLUMN())),OFFSET($BN$2,0,0,ROW()-1,60),ROW()-1,FALSE))</f>
        <v/>
      </c>
      <c r="AL127" t="str">
        <f ca="1">IF(AND(ISNUMBER($AL$323),$B$185=1),$AL$323,HLOOKUP(INDIRECT(ADDRESS(2,COLUMN())),OFFSET($BN$2,0,0,ROW()-1,60),ROW()-1,FALSE))</f>
        <v/>
      </c>
      <c r="AM127" t="str">
        <f ca="1">IF(AND(ISNUMBER($AM$323),$B$185=1),$AM$323,HLOOKUP(INDIRECT(ADDRESS(2,COLUMN())),OFFSET($BN$2,0,0,ROW()-1,60),ROW()-1,FALSE))</f>
        <v/>
      </c>
      <c r="AN127" t="str">
        <f ca="1">IF(AND(ISNUMBER($AN$323),$B$185=1),$AN$323,HLOOKUP(INDIRECT(ADDRESS(2,COLUMN())),OFFSET($BN$2,0,0,ROW()-1,60),ROW()-1,FALSE))</f>
        <v/>
      </c>
      <c r="AO127" t="str">
        <f ca="1">IF(AND(ISNUMBER($AO$323),$B$185=1),$AO$323,HLOOKUP(INDIRECT(ADDRESS(2,COLUMN())),OFFSET($BN$2,0,0,ROW()-1,60),ROW()-1,FALSE))</f>
        <v/>
      </c>
      <c r="AP127" t="str">
        <f ca="1">IF(AND(ISNUMBER($AP$323),$B$185=1),$AP$323,HLOOKUP(INDIRECT(ADDRESS(2,COLUMN())),OFFSET($BN$2,0,0,ROW()-1,60),ROW()-1,FALSE))</f>
        <v/>
      </c>
      <c r="AQ127" t="str">
        <f ca="1">IF(AND(ISNUMBER($AQ$323),$B$185=1),$AQ$323,HLOOKUP(INDIRECT(ADDRESS(2,COLUMN())),OFFSET($BN$2,0,0,ROW()-1,60),ROW()-1,FALSE))</f>
        <v/>
      </c>
      <c r="AR127" t="str">
        <f ca="1">IF(AND(ISNUMBER($AR$323),$B$185=1),$AR$323,HLOOKUP(INDIRECT(ADDRESS(2,COLUMN())),OFFSET($BN$2,0,0,ROW()-1,60),ROW()-1,FALSE))</f>
        <v/>
      </c>
      <c r="AS127" t="str">
        <f ca="1">IF(AND(ISNUMBER($AS$323),$B$185=1),$AS$323,HLOOKUP(INDIRECT(ADDRESS(2,COLUMN())),OFFSET($BN$2,0,0,ROW()-1,60),ROW()-1,FALSE))</f>
        <v/>
      </c>
      <c r="AT127" t="str">
        <f ca="1">IF(AND(ISNUMBER($AT$323),$B$185=1),$AT$323,HLOOKUP(INDIRECT(ADDRESS(2,COLUMN())),OFFSET($BN$2,0,0,ROW()-1,60),ROW()-1,FALSE))</f>
        <v/>
      </c>
      <c r="AU127" t="str">
        <f ca="1">IF(AND(ISNUMBER($AU$323),$B$185=1),$AU$323,HLOOKUP(INDIRECT(ADDRESS(2,COLUMN())),OFFSET($BN$2,0,0,ROW()-1,60),ROW()-1,FALSE))</f>
        <v/>
      </c>
      <c r="AV127" t="str">
        <f ca="1">IF(AND(ISNUMBER($AV$323),$B$185=1),$AV$323,HLOOKUP(INDIRECT(ADDRESS(2,COLUMN())),OFFSET($BN$2,0,0,ROW()-1,60),ROW()-1,FALSE))</f>
        <v/>
      </c>
      <c r="AW127" t="str">
        <f ca="1">IF(AND(ISNUMBER($AW$323),$B$185=1),$AW$323,HLOOKUP(INDIRECT(ADDRESS(2,COLUMN())),OFFSET($BN$2,0,0,ROW()-1,60),ROW()-1,FALSE))</f>
        <v/>
      </c>
      <c r="AX127" t="str">
        <f ca="1">IF(AND(ISNUMBER($AX$323),$B$185=1),$AX$323,HLOOKUP(INDIRECT(ADDRESS(2,COLUMN())),OFFSET($BN$2,0,0,ROW()-1,60),ROW()-1,FALSE))</f>
        <v/>
      </c>
      <c r="AY127" t="str">
        <f ca="1">IF(AND(ISNUMBER($AY$323),$B$185=1),$AY$323,HLOOKUP(INDIRECT(ADDRESS(2,COLUMN())),OFFSET($BN$2,0,0,ROW()-1,60),ROW()-1,FALSE))</f>
        <v/>
      </c>
      <c r="AZ127" t="str">
        <f ca="1">IF(AND(ISNUMBER($AZ$323),$B$185=1),$AZ$323,HLOOKUP(INDIRECT(ADDRESS(2,COLUMN())),OFFSET($BN$2,0,0,ROW()-1,60),ROW()-1,FALSE))</f>
        <v/>
      </c>
      <c r="BA127" t="str">
        <f ca="1">IF(AND(ISNUMBER($BA$323),$B$185=1),$BA$323,HLOOKUP(INDIRECT(ADDRESS(2,COLUMN())),OFFSET($BN$2,0,0,ROW()-1,60),ROW()-1,FALSE))</f>
        <v/>
      </c>
      <c r="BB127" t="str">
        <f ca="1">IF(AND(ISNUMBER($BB$323),$B$185=1),$BB$323,HLOOKUP(INDIRECT(ADDRESS(2,COLUMN())),OFFSET($BN$2,0,0,ROW()-1,60),ROW()-1,FALSE))</f>
        <v/>
      </c>
      <c r="BC127" t="str">
        <f ca="1">IF(AND(ISNUMBER($BC$323),$B$185=1),$BC$323,HLOOKUP(INDIRECT(ADDRESS(2,COLUMN())),OFFSET($BN$2,0,0,ROW()-1,60),ROW()-1,FALSE))</f>
        <v/>
      </c>
      <c r="BD127" t="str">
        <f ca="1">IF(AND(ISNUMBER($BD$323),$B$185=1),$BD$323,HLOOKUP(INDIRECT(ADDRESS(2,COLUMN())),OFFSET($BN$2,0,0,ROW()-1,60),ROW()-1,FALSE))</f>
        <v/>
      </c>
      <c r="BE127" t="str">
        <f ca="1">IF(AND(ISNUMBER($BE$323),$B$185=1),$BE$323,HLOOKUP(INDIRECT(ADDRESS(2,COLUMN())),OFFSET($BN$2,0,0,ROW()-1,60),ROW()-1,FALSE))</f>
        <v/>
      </c>
      <c r="BF127" t="str">
        <f ca="1">IF(AND(ISNUMBER($BF$323),$B$185=1),$BF$323,HLOOKUP(INDIRECT(ADDRESS(2,COLUMN())),OFFSET($BN$2,0,0,ROW()-1,60),ROW()-1,FALSE))</f>
        <v/>
      </c>
      <c r="BG127" t="str">
        <f ca="1">IF(AND(ISNUMBER($BG$323),$B$185=1),$BG$323,HLOOKUP(INDIRECT(ADDRESS(2,COLUMN())),OFFSET($BN$2,0,0,ROW()-1,60),ROW()-1,FALSE))</f>
        <v/>
      </c>
      <c r="BH127" t="str">
        <f ca="1">IF(AND(ISNUMBER($BH$323),$B$185=1),$BH$323,HLOOKUP(INDIRECT(ADDRESS(2,COLUMN())),OFFSET($BN$2,0,0,ROW()-1,60),ROW()-1,FALSE))</f>
        <v/>
      </c>
      <c r="BI127" t="str">
        <f ca="1">IF(AND(ISNUMBER($BI$323),$B$185=1),$BI$323,HLOOKUP(INDIRECT(ADDRESS(2,COLUMN())),OFFSET($BN$2,0,0,ROW()-1,60),ROW()-1,FALSE))</f>
        <v/>
      </c>
      <c r="BJ127" t="str">
        <f ca="1">IF(AND(ISNUMBER($BJ$323),$B$185=1),$BJ$323,HLOOKUP(INDIRECT(ADDRESS(2,COLUMN())),OFFSET($BN$2,0,0,ROW()-1,60),ROW()-1,FALSE))</f>
        <v/>
      </c>
      <c r="BK127" t="str">
        <f ca="1">IF(AND(ISNUMBER($BK$323),$B$185=1),$BK$323,HLOOKUP(INDIRECT(ADDRESS(2,COLUMN())),OFFSET($BN$2,0,0,ROW()-1,60),ROW()-1,FALSE))</f>
        <v/>
      </c>
      <c r="BL127" t="str">
        <f ca="1">IF(AND(ISNUMBER($BL$323),$B$185=1),$BL$323,HLOOKUP(INDIRECT(ADDRESS(2,COLUMN())),OFFSET($BN$2,0,0,ROW()-1,60),ROW()-1,FALSE))</f>
        <v/>
      </c>
      <c r="BM127" t="str">
        <f ca="1">IF(AND(ISNUMBER($BM$323),$B$185=1),$BM$323,HLOOKUP(INDIRECT(ADDRESS(2,COLUMN())),OFFSET($BN$2,0,0,ROW()-1,60),ROW()-1,FALSE))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>
      <c r="A128" t="str">
        <f>"    Citizens Financial Group Inc"</f>
        <v xml:space="preserve">    Citizens Financial Group Inc</v>
      </c>
      <c r="B128" t="str">
        <f>"CFG US Equity"</f>
        <v>CFG US Equity</v>
      </c>
      <c r="C128" t="str">
        <f t="shared" si="16"/>
        <v>BS965</v>
      </c>
      <c r="D128" t="str">
        <f t="shared" si="17"/>
        <v>BS_COMML_MTG_SERVICING_PORTFOLIO</v>
      </c>
      <c r="E128" t="str">
        <f t="shared" si="18"/>
        <v>Dynamic</v>
      </c>
      <c r="F128" t="str">
        <f ca="1">IF(AND(ISNUMBER($F$324),$B$185=1),$F$324,HLOOKUP(INDIRECT(ADDRESS(2,COLUMN())),OFFSET($BN$2,0,0,ROW()-1,60),ROW()-1,FALSE))</f>
        <v/>
      </c>
      <c r="G128" t="str">
        <f ca="1">IF(AND(ISNUMBER($G$324),$B$185=1),$G$324,HLOOKUP(INDIRECT(ADDRESS(2,COLUMN())),OFFSET($BN$2,0,0,ROW()-1,60),ROW()-1,FALSE))</f>
        <v/>
      </c>
      <c r="H128" t="str">
        <f ca="1">IF(AND(ISNUMBER($H$324),$B$185=1),$H$324,HLOOKUP(INDIRECT(ADDRESS(2,COLUMN())),OFFSET($BN$2,0,0,ROW()-1,60),ROW()-1,FALSE))</f>
        <v/>
      </c>
      <c r="I128" t="str">
        <f ca="1">IF(AND(ISNUMBER($I$324),$B$185=1),$I$324,HLOOKUP(INDIRECT(ADDRESS(2,COLUMN())),OFFSET($BN$2,0,0,ROW()-1,60),ROW()-1,FALSE))</f>
        <v/>
      </c>
      <c r="J128" t="str">
        <f ca="1">IF(AND(ISNUMBER($J$324),$B$185=1),$J$324,HLOOKUP(INDIRECT(ADDRESS(2,COLUMN())),OFFSET($BN$2,0,0,ROW()-1,60),ROW()-1,FALSE))</f>
        <v/>
      </c>
      <c r="K128" t="str">
        <f ca="1">IF(AND(ISNUMBER($K$324),$B$185=1),$K$324,HLOOKUP(INDIRECT(ADDRESS(2,COLUMN())),OFFSET($BN$2,0,0,ROW()-1,60),ROW()-1,FALSE))</f>
        <v/>
      </c>
      <c r="L128" t="str">
        <f ca="1">IF(AND(ISNUMBER($L$324),$B$185=1),$L$324,HLOOKUP(INDIRECT(ADDRESS(2,COLUMN())),OFFSET($BN$2,0,0,ROW()-1,60),ROW()-1,FALSE))</f>
        <v/>
      </c>
      <c r="M128" t="str">
        <f ca="1">IF(AND(ISNUMBER($M$324),$B$185=1),$M$324,HLOOKUP(INDIRECT(ADDRESS(2,COLUMN())),OFFSET($BN$2,0,0,ROW()-1,60),ROW()-1,FALSE))</f>
        <v/>
      </c>
      <c r="N128" t="str">
        <f ca="1">IF(AND(ISNUMBER($N$324),$B$185=1),$N$324,HLOOKUP(INDIRECT(ADDRESS(2,COLUMN())),OFFSET($BN$2,0,0,ROW()-1,60),ROW()-1,FALSE))</f>
        <v/>
      </c>
      <c r="O128" t="str">
        <f ca="1">IF(AND(ISNUMBER($O$324),$B$185=1),$O$324,HLOOKUP(INDIRECT(ADDRESS(2,COLUMN())),OFFSET($BN$2,0,0,ROW()-1,60),ROW()-1,FALSE))</f>
        <v/>
      </c>
      <c r="P128" t="str">
        <f ca="1">IF(AND(ISNUMBER($P$324),$B$185=1),$P$324,HLOOKUP(INDIRECT(ADDRESS(2,COLUMN())),OFFSET($BN$2,0,0,ROW()-1,60),ROW()-1,FALSE))</f>
        <v/>
      </c>
      <c r="Q128" t="str">
        <f ca="1">IF(AND(ISNUMBER($Q$324),$B$185=1),$Q$324,HLOOKUP(INDIRECT(ADDRESS(2,COLUMN())),OFFSET($BN$2,0,0,ROW()-1,60),ROW()-1,FALSE))</f>
        <v/>
      </c>
      <c r="R128" t="str">
        <f ca="1">IF(AND(ISNUMBER($R$324),$B$185=1),$R$324,HLOOKUP(INDIRECT(ADDRESS(2,COLUMN())),OFFSET($BN$2,0,0,ROW()-1,60),ROW()-1,FALSE))</f>
        <v/>
      </c>
      <c r="S128" t="str">
        <f ca="1">IF(AND(ISNUMBER($S$324),$B$185=1),$S$324,HLOOKUP(INDIRECT(ADDRESS(2,COLUMN())),OFFSET($BN$2,0,0,ROW()-1,60),ROW()-1,FALSE))</f>
        <v/>
      </c>
      <c r="T128" t="str">
        <f ca="1">IF(AND(ISNUMBER($T$324),$B$185=1),$T$324,HLOOKUP(INDIRECT(ADDRESS(2,COLUMN())),OFFSET($BN$2,0,0,ROW()-1,60),ROW()-1,FALSE))</f>
        <v/>
      </c>
      <c r="U128" t="str">
        <f ca="1">IF(AND(ISNUMBER($U$324),$B$185=1),$U$324,HLOOKUP(INDIRECT(ADDRESS(2,COLUMN())),OFFSET($BN$2,0,0,ROW()-1,60),ROW()-1,FALSE))</f>
        <v/>
      </c>
      <c r="V128" t="str">
        <f ca="1">IF(AND(ISNUMBER($V$324),$B$185=1),$V$324,HLOOKUP(INDIRECT(ADDRESS(2,COLUMN())),OFFSET($BN$2,0,0,ROW()-1,60),ROW()-1,FALSE))</f>
        <v/>
      </c>
      <c r="W128" t="str">
        <f ca="1">IF(AND(ISNUMBER($W$324),$B$185=1),$W$324,HLOOKUP(INDIRECT(ADDRESS(2,COLUMN())),OFFSET($BN$2,0,0,ROW()-1,60),ROW()-1,FALSE))</f>
        <v/>
      </c>
      <c r="X128" t="str">
        <f ca="1">IF(AND(ISNUMBER($X$324),$B$185=1),$X$324,HLOOKUP(INDIRECT(ADDRESS(2,COLUMN())),OFFSET($BN$2,0,0,ROW()-1,60),ROW()-1,FALSE))</f>
        <v/>
      </c>
      <c r="Y128" t="str">
        <f ca="1">IF(AND(ISNUMBER($Y$324),$B$185=1),$Y$324,HLOOKUP(INDIRECT(ADDRESS(2,COLUMN())),OFFSET($BN$2,0,0,ROW()-1,60),ROW()-1,FALSE))</f>
        <v/>
      </c>
      <c r="Z128" t="str">
        <f ca="1">IF(AND(ISNUMBER($Z$324),$B$185=1),$Z$324,HLOOKUP(INDIRECT(ADDRESS(2,COLUMN())),OFFSET($BN$2,0,0,ROW()-1,60),ROW()-1,FALSE))</f>
        <v/>
      </c>
      <c r="AA128" t="str">
        <f ca="1">IF(AND(ISNUMBER($AA$324),$B$185=1),$AA$324,HLOOKUP(INDIRECT(ADDRESS(2,COLUMN())),OFFSET($BN$2,0,0,ROW()-1,60),ROW()-1,FALSE))</f>
        <v/>
      </c>
      <c r="AB128" t="str">
        <f ca="1">IF(AND(ISNUMBER($AB$324),$B$185=1),$AB$324,HLOOKUP(INDIRECT(ADDRESS(2,COLUMN())),OFFSET($BN$2,0,0,ROW()-1,60),ROW()-1,FALSE))</f>
        <v/>
      </c>
      <c r="AC128" t="str">
        <f ca="1">IF(AND(ISNUMBER($AC$324),$B$185=1),$AC$324,HLOOKUP(INDIRECT(ADDRESS(2,COLUMN())),OFFSET($BN$2,0,0,ROW()-1,60),ROW()-1,FALSE))</f>
        <v/>
      </c>
      <c r="AD128" t="str">
        <f ca="1">IF(AND(ISNUMBER($AD$324),$B$185=1),$AD$324,HLOOKUP(INDIRECT(ADDRESS(2,COLUMN())),OFFSET($BN$2,0,0,ROW()-1,60),ROW()-1,FALSE))</f>
        <v/>
      </c>
      <c r="AE128" t="str">
        <f ca="1">IF(AND(ISNUMBER($AE$324),$B$185=1),$AE$324,HLOOKUP(INDIRECT(ADDRESS(2,COLUMN())),OFFSET($BN$2,0,0,ROW()-1,60),ROW()-1,FALSE))</f>
        <v/>
      </c>
      <c r="AF128" t="str">
        <f ca="1">IF(AND(ISNUMBER($AF$324),$B$185=1),$AF$324,HLOOKUP(INDIRECT(ADDRESS(2,COLUMN())),OFFSET($BN$2,0,0,ROW()-1,60),ROW()-1,FALSE))</f>
        <v/>
      </c>
      <c r="AG128" t="str">
        <f ca="1">IF(AND(ISNUMBER($AG$324),$B$185=1),$AG$324,HLOOKUP(INDIRECT(ADDRESS(2,COLUMN())),OFFSET($BN$2,0,0,ROW()-1,60),ROW()-1,FALSE))</f>
        <v/>
      </c>
      <c r="AH128" t="str">
        <f ca="1">IF(AND(ISNUMBER($AH$324),$B$185=1),$AH$324,HLOOKUP(INDIRECT(ADDRESS(2,COLUMN())),OFFSET($BN$2,0,0,ROW()-1,60),ROW()-1,FALSE))</f>
        <v/>
      </c>
      <c r="AI128" t="str">
        <f ca="1">IF(AND(ISNUMBER($AI$324),$B$185=1),$AI$324,HLOOKUP(INDIRECT(ADDRESS(2,COLUMN())),OFFSET($BN$2,0,0,ROW()-1,60),ROW()-1,FALSE))</f>
        <v/>
      </c>
      <c r="AJ128" t="str">
        <f ca="1">IF(AND(ISNUMBER($AJ$324),$B$185=1),$AJ$324,HLOOKUP(INDIRECT(ADDRESS(2,COLUMN())),OFFSET($BN$2,0,0,ROW()-1,60),ROW()-1,FALSE))</f>
        <v/>
      </c>
      <c r="AK128" t="str">
        <f ca="1">IF(AND(ISNUMBER($AK$324),$B$185=1),$AK$324,HLOOKUP(INDIRECT(ADDRESS(2,COLUMN())),OFFSET($BN$2,0,0,ROW()-1,60),ROW()-1,FALSE))</f>
        <v/>
      </c>
      <c r="AL128" t="str">
        <f ca="1">IF(AND(ISNUMBER($AL$324),$B$185=1),$AL$324,HLOOKUP(INDIRECT(ADDRESS(2,COLUMN())),OFFSET($BN$2,0,0,ROW()-1,60),ROW()-1,FALSE))</f>
        <v/>
      </c>
      <c r="AM128" t="str">
        <f ca="1">IF(AND(ISNUMBER($AM$324),$B$185=1),$AM$324,HLOOKUP(INDIRECT(ADDRESS(2,COLUMN())),OFFSET($BN$2,0,0,ROW()-1,60),ROW()-1,FALSE))</f>
        <v/>
      </c>
      <c r="AN128" t="str">
        <f ca="1">IF(AND(ISNUMBER($AN$324),$B$185=1),$AN$324,HLOOKUP(INDIRECT(ADDRESS(2,COLUMN())),OFFSET($BN$2,0,0,ROW()-1,60),ROW()-1,FALSE))</f>
        <v/>
      </c>
      <c r="AO128" t="str">
        <f ca="1">IF(AND(ISNUMBER($AO$324),$B$185=1),$AO$324,HLOOKUP(INDIRECT(ADDRESS(2,COLUMN())),OFFSET($BN$2,0,0,ROW()-1,60),ROW()-1,FALSE))</f>
        <v/>
      </c>
      <c r="AP128" t="str">
        <f ca="1">IF(AND(ISNUMBER($AP$324),$B$185=1),$AP$324,HLOOKUP(INDIRECT(ADDRESS(2,COLUMN())),OFFSET($BN$2,0,0,ROW()-1,60),ROW()-1,FALSE))</f>
        <v/>
      </c>
      <c r="AQ128" t="str">
        <f ca="1">IF(AND(ISNUMBER($AQ$324),$B$185=1),$AQ$324,HLOOKUP(INDIRECT(ADDRESS(2,COLUMN())),OFFSET($BN$2,0,0,ROW()-1,60),ROW()-1,FALSE))</f>
        <v/>
      </c>
      <c r="AR128" t="str">
        <f ca="1">IF(AND(ISNUMBER($AR$324),$B$185=1),$AR$324,HLOOKUP(INDIRECT(ADDRESS(2,COLUMN())),OFFSET($BN$2,0,0,ROW()-1,60),ROW()-1,FALSE))</f>
        <v/>
      </c>
      <c r="AS128" t="str">
        <f ca="1">IF(AND(ISNUMBER($AS$324),$B$185=1),$AS$324,HLOOKUP(INDIRECT(ADDRESS(2,COLUMN())),OFFSET($BN$2,0,0,ROW()-1,60),ROW()-1,FALSE))</f>
        <v/>
      </c>
      <c r="AT128" t="str">
        <f ca="1">IF(AND(ISNUMBER($AT$324),$B$185=1),$AT$324,HLOOKUP(INDIRECT(ADDRESS(2,COLUMN())),OFFSET($BN$2,0,0,ROW()-1,60),ROW()-1,FALSE))</f>
        <v/>
      </c>
      <c r="AU128" t="str">
        <f ca="1">IF(AND(ISNUMBER($AU$324),$B$185=1),$AU$324,HLOOKUP(INDIRECT(ADDRESS(2,COLUMN())),OFFSET($BN$2,0,0,ROW()-1,60),ROW()-1,FALSE))</f>
        <v/>
      </c>
      <c r="AV128" t="str">
        <f ca="1">IF(AND(ISNUMBER($AV$324),$B$185=1),$AV$324,HLOOKUP(INDIRECT(ADDRESS(2,COLUMN())),OFFSET($BN$2,0,0,ROW()-1,60),ROW()-1,FALSE))</f>
        <v/>
      </c>
      <c r="AW128" t="str">
        <f ca="1">IF(AND(ISNUMBER($AW$324),$B$185=1),$AW$324,HLOOKUP(INDIRECT(ADDRESS(2,COLUMN())),OFFSET($BN$2,0,0,ROW()-1,60),ROW()-1,FALSE))</f>
        <v/>
      </c>
      <c r="AX128" t="str">
        <f ca="1">IF(AND(ISNUMBER($AX$324),$B$185=1),$AX$324,HLOOKUP(INDIRECT(ADDRESS(2,COLUMN())),OFFSET($BN$2,0,0,ROW()-1,60),ROW()-1,FALSE))</f>
        <v/>
      </c>
      <c r="AY128" t="str">
        <f ca="1">IF(AND(ISNUMBER($AY$324),$B$185=1),$AY$324,HLOOKUP(INDIRECT(ADDRESS(2,COLUMN())),OFFSET($BN$2,0,0,ROW()-1,60),ROW()-1,FALSE))</f>
        <v/>
      </c>
      <c r="AZ128" t="str">
        <f ca="1">IF(AND(ISNUMBER($AZ$324),$B$185=1),$AZ$324,HLOOKUP(INDIRECT(ADDRESS(2,COLUMN())),OFFSET($BN$2,0,0,ROW()-1,60),ROW()-1,FALSE))</f>
        <v/>
      </c>
      <c r="BA128" t="str">
        <f ca="1">IF(AND(ISNUMBER($BA$324),$B$185=1),$BA$324,HLOOKUP(INDIRECT(ADDRESS(2,COLUMN())),OFFSET($BN$2,0,0,ROW()-1,60),ROW()-1,FALSE))</f>
        <v/>
      </c>
      <c r="BB128" t="str">
        <f ca="1">IF(AND(ISNUMBER($BB$324),$B$185=1),$BB$324,HLOOKUP(INDIRECT(ADDRESS(2,COLUMN())),OFFSET($BN$2,0,0,ROW()-1,60),ROW()-1,FALSE))</f>
        <v/>
      </c>
      <c r="BC128" t="str">
        <f ca="1">IF(AND(ISNUMBER($BC$324),$B$185=1),$BC$324,HLOOKUP(INDIRECT(ADDRESS(2,COLUMN())),OFFSET($BN$2,0,0,ROW()-1,60),ROW()-1,FALSE))</f>
        <v/>
      </c>
      <c r="BD128" t="str">
        <f ca="1">IF(AND(ISNUMBER($BD$324),$B$185=1),$BD$324,HLOOKUP(INDIRECT(ADDRESS(2,COLUMN())),OFFSET($BN$2,0,0,ROW()-1,60),ROW()-1,FALSE))</f>
        <v/>
      </c>
      <c r="BE128" t="str">
        <f ca="1">IF(AND(ISNUMBER($BE$324),$B$185=1),$BE$324,HLOOKUP(INDIRECT(ADDRESS(2,COLUMN())),OFFSET($BN$2,0,0,ROW()-1,60),ROW()-1,FALSE))</f>
        <v/>
      </c>
      <c r="BF128" t="str">
        <f ca="1">IF(AND(ISNUMBER($BF$324),$B$185=1),$BF$324,HLOOKUP(INDIRECT(ADDRESS(2,COLUMN())),OFFSET($BN$2,0,0,ROW()-1,60),ROW()-1,FALSE))</f>
        <v/>
      </c>
      <c r="BG128" t="str">
        <f ca="1">IF(AND(ISNUMBER($BG$324),$B$185=1),$BG$324,HLOOKUP(INDIRECT(ADDRESS(2,COLUMN())),OFFSET($BN$2,0,0,ROW()-1,60),ROW()-1,FALSE))</f>
        <v/>
      </c>
      <c r="BH128" t="str">
        <f ca="1">IF(AND(ISNUMBER($BH$324),$B$185=1),$BH$324,HLOOKUP(INDIRECT(ADDRESS(2,COLUMN())),OFFSET($BN$2,0,0,ROW()-1,60),ROW()-1,FALSE))</f>
        <v/>
      </c>
      <c r="BI128" t="str">
        <f ca="1">IF(AND(ISNUMBER($BI$324),$B$185=1),$BI$324,HLOOKUP(INDIRECT(ADDRESS(2,COLUMN())),OFFSET($BN$2,0,0,ROW()-1,60),ROW()-1,FALSE))</f>
        <v/>
      </c>
      <c r="BJ128" t="str">
        <f ca="1">IF(AND(ISNUMBER($BJ$324),$B$185=1),$BJ$324,HLOOKUP(INDIRECT(ADDRESS(2,COLUMN())),OFFSET($BN$2,0,0,ROW()-1,60),ROW()-1,FALSE))</f>
        <v/>
      </c>
      <c r="BK128" t="str">
        <f ca="1">IF(AND(ISNUMBER($BK$324),$B$185=1),$BK$324,HLOOKUP(INDIRECT(ADDRESS(2,COLUMN())),OFFSET($BN$2,0,0,ROW()-1,60),ROW()-1,FALSE))</f>
        <v/>
      </c>
      <c r="BL128" t="str">
        <f ca="1">IF(AND(ISNUMBER($BL$324),$B$185=1),$BL$324,HLOOKUP(INDIRECT(ADDRESS(2,COLUMN())),OFFSET($BN$2,0,0,ROW()-1,60),ROW()-1,FALSE))</f>
        <v/>
      </c>
      <c r="BM128" t="str">
        <f ca="1">IF(AND(ISNUMBER($BM$324),$B$185=1),$BM$324,HLOOKUP(INDIRECT(ADDRESS(2,COLUMN())),OFFSET($BN$2,0,0,ROW()-1,60),ROW()-1,FALSE))</f>
        <v/>
      </c>
      <c r="BN128" t="str">
        <f>""</f>
        <v/>
      </c>
      <c r="BO128" t="str">
        <f>""</f>
        <v/>
      </c>
      <c r="BP128" t="str">
        <f>""</f>
        <v/>
      </c>
      <c r="BQ128" t="str">
        <f>""</f>
        <v/>
      </c>
      <c r="BR128" t="str">
        <f>""</f>
        <v/>
      </c>
      <c r="BS128" t="str">
        <f>""</f>
        <v/>
      </c>
      <c r="BT128" t="str">
        <f>""</f>
        <v/>
      </c>
      <c r="BU128" t="str">
        <f>""</f>
        <v/>
      </c>
      <c r="BV128" t="str">
        <f>""</f>
        <v/>
      </c>
      <c r="BW128" t="str">
        <f>""</f>
        <v/>
      </c>
      <c r="BX128" t="str">
        <f>""</f>
        <v/>
      </c>
      <c r="BY128" t="str">
        <f>""</f>
        <v/>
      </c>
      <c r="BZ128" t="str">
        <f>""</f>
        <v/>
      </c>
      <c r="CA128" t="str">
        <f>""</f>
        <v/>
      </c>
      <c r="CB128" t="str">
        <f>""</f>
        <v/>
      </c>
      <c r="CC128" t="str">
        <f>""</f>
        <v/>
      </c>
      <c r="CD128" t="str">
        <f>""</f>
        <v/>
      </c>
      <c r="CE128" t="str">
        <f>""</f>
        <v/>
      </c>
      <c r="CF128" t="str">
        <f>""</f>
        <v/>
      </c>
      <c r="CG128" t="str">
        <f>""</f>
        <v/>
      </c>
      <c r="CH128" t="str">
        <f>""</f>
        <v/>
      </c>
      <c r="CI128" t="str">
        <f>""</f>
        <v/>
      </c>
      <c r="CJ128" t="str">
        <f>""</f>
        <v/>
      </c>
      <c r="CK128" t="str">
        <f>""</f>
        <v/>
      </c>
      <c r="CL128" t="str">
        <f>""</f>
        <v/>
      </c>
      <c r="CM128" t="str">
        <f>""</f>
        <v/>
      </c>
      <c r="CN128" t="str">
        <f>""</f>
        <v/>
      </c>
      <c r="CO128" t="str">
        <f>""</f>
        <v/>
      </c>
      <c r="CP128" t="str">
        <f>""</f>
        <v/>
      </c>
      <c r="CQ128" t="str">
        <f>""</f>
        <v/>
      </c>
      <c r="CR128" t="str">
        <f>""</f>
        <v/>
      </c>
      <c r="CS128" t="str">
        <f>""</f>
        <v/>
      </c>
      <c r="CT128" t="str">
        <f>""</f>
        <v/>
      </c>
      <c r="CU128" t="str">
        <f>""</f>
        <v/>
      </c>
      <c r="CV128" t="str">
        <f>""</f>
        <v/>
      </c>
      <c r="CW128" t="str">
        <f>""</f>
        <v/>
      </c>
      <c r="CX128" t="str">
        <f>""</f>
        <v/>
      </c>
      <c r="CY128" t="str">
        <f>""</f>
        <v/>
      </c>
      <c r="CZ128" t="str">
        <f>""</f>
        <v/>
      </c>
      <c r="DA128" t="str">
        <f>""</f>
        <v/>
      </c>
      <c r="DB128" t="str">
        <f>""</f>
        <v/>
      </c>
      <c r="DC128" t="str">
        <f>""</f>
        <v/>
      </c>
      <c r="DD128" t="str">
        <f>""</f>
        <v/>
      </c>
      <c r="DE128" t="str">
        <f>""</f>
        <v/>
      </c>
      <c r="DF128" t="str">
        <f>""</f>
        <v/>
      </c>
      <c r="DG128" t="str">
        <f>""</f>
        <v/>
      </c>
      <c r="DH128" t="str">
        <f>""</f>
        <v/>
      </c>
      <c r="DI128" t="str">
        <f>""</f>
        <v/>
      </c>
      <c r="DJ128" t="str">
        <f>""</f>
        <v/>
      </c>
      <c r="DK128" t="str">
        <f>""</f>
        <v/>
      </c>
      <c r="DL128" t="str">
        <f>""</f>
        <v/>
      </c>
      <c r="DM128" t="str">
        <f>""</f>
        <v/>
      </c>
      <c r="DN128" t="str">
        <f>""</f>
        <v/>
      </c>
      <c r="DO128" t="str">
        <f>""</f>
        <v/>
      </c>
      <c r="DP128" t="str">
        <f>""</f>
        <v/>
      </c>
      <c r="DQ128" t="str">
        <f>""</f>
        <v/>
      </c>
      <c r="DR128" t="str">
        <f>""</f>
        <v/>
      </c>
      <c r="DS128" t="str">
        <f>""</f>
        <v/>
      </c>
      <c r="DT128" t="str">
        <f>""</f>
        <v/>
      </c>
      <c r="DU128" t="str">
        <f>""</f>
        <v/>
      </c>
    </row>
    <row r="129" spans="1:125">
      <c r="A129" t="str">
        <f>"    Comerica Inc"</f>
        <v xml:space="preserve">    Comerica Inc</v>
      </c>
      <c r="B129" t="str">
        <f>"CMA US Equity"</f>
        <v>CMA US Equity</v>
      </c>
      <c r="C129" t="str">
        <f t="shared" si="16"/>
        <v>BS965</v>
      </c>
      <c r="D129" t="str">
        <f t="shared" si="17"/>
        <v>BS_COMML_MTG_SERVICING_PORTFOLIO</v>
      </c>
      <c r="E129" t="str">
        <f t="shared" si="18"/>
        <v>Dynamic</v>
      </c>
      <c r="F129" t="str">
        <f ca="1">IF(AND(ISNUMBER($F$325),$B$185=1),$F$325,HLOOKUP(INDIRECT(ADDRESS(2,COLUMN())),OFFSET($BN$2,0,0,ROW()-1,60),ROW()-1,FALSE))</f>
        <v/>
      </c>
      <c r="G129" t="str">
        <f ca="1">IF(AND(ISNUMBER($G$325),$B$185=1),$G$325,HLOOKUP(INDIRECT(ADDRESS(2,COLUMN())),OFFSET($BN$2,0,0,ROW()-1,60),ROW()-1,FALSE))</f>
        <v/>
      </c>
      <c r="H129" t="str">
        <f ca="1">IF(AND(ISNUMBER($H$325),$B$185=1),$H$325,HLOOKUP(INDIRECT(ADDRESS(2,COLUMN())),OFFSET($BN$2,0,0,ROW()-1,60),ROW()-1,FALSE))</f>
        <v/>
      </c>
      <c r="I129" t="str">
        <f ca="1">IF(AND(ISNUMBER($I$325),$B$185=1),$I$325,HLOOKUP(INDIRECT(ADDRESS(2,COLUMN())),OFFSET($BN$2,0,0,ROW()-1,60),ROW()-1,FALSE))</f>
        <v/>
      </c>
      <c r="J129" t="str">
        <f ca="1">IF(AND(ISNUMBER($J$325),$B$185=1),$J$325,HLOOKUP(INDIRECT(ADDRESS(2,COLUMN())),OFFSET($BN$2,0,0,ROW()-1,60),ROW()-1,FALSE))</f>
        <v/>
      </c>
      <c r="K129" t="str">
        <f ca="1">IF(AND(ISNUMBER($K$325),$B$185=1),$K$325,HLOOKUP(INDIRECT(ADDRESS(2,COLUMN())),OFFSET($BN$2,0,0,ROW()-1,60),ROW()-1,FALSE))</f>
        <v/>
      </c>
      <c r="L129" t="str">
        <f ca="1">IF(AND(ISNUMBER($L$325),$B$185=1),$L$325,HLOOKUP(INDIRECT(ADDRESS(2,COLUMN())),OFFSET($BN$2,0,0,ROW()-1,60),ROW()-1,FALSE))</f>
        <v/>
      </c>
      <c r="M129" t="str">
        <f ca="1">IF(AND(ISNUMBER($M$325),$B$185=1),$M$325,HLOOKUP(INDIRECT(ADDRESS(2,COLUMN())),OFFSET($BN$2,0,0,ROW()-1,60),ROW()-1,FALSE))</f>
        <v/>
      </c>
      <c r="N129" t="str">
        <f ca="1">IF(AND(ISNUMBER($N$325),$B$185=1),$N$325,HLOOKUP(INDIRECT(ADDRESS(2,COLUMN())),OFFSET($BN$2,0,0,ROW()-1,60),ROW()-1,FALSE))</f>
        <v/>
      </c>
      <c r="O129" t="str">
        <f ca="1">IF(AND(ISNUMBER($O$325),$B$185=1),$O$325,HLOOKUP(INDIRECT(ADDRESS(2,COLUMN())),OFFSET($BN$2,0,0,ROW()-1,60),ROW()-1,FALSE))</f>
        <v/>
      </c>
      <c r="P129" t="str">
        <f ca="1">IF(AND(ISNUMBER($P$325),$B$185=1),$P$325,HLOOKUP(INDIRECT(ADDRESS(2,COLUMN())),OFFSET($BN$2,0,0,ROW()-1,60),ROW()-1,FALSE))</f>
        <v/>
      </c>
      <c r="Q129" t="str">
        <f ca="1">IF(AND(ISNUMBER($Q$325),$B$185=1),$Q$325,HLOOKUP(INDIRECT(ADDRESS(2,COLUMN())),OFFSET($BN$2,0,0,ROW()-1,60),ROW()-1,FALSE))</f>
        <v/>
      </c>
      <c r="R129" t="str">
        <f ca="1">IF(AND(ISNUMBER($R$325),$B$185=1),$R$325,HLOOKUP(INDIRECT(ADDRESS(2,COLUMN())),OFFSET($BN$2,0,0,ROW()-1,60),ROW()-1,FALSE))</f>
        <v/>
      </c>
      <c r="S129" t="str">
        <f ca="1">IF(AND(ISNUMBER($S$325),$B$185=1),$S$325,HLOOKUP(INDIRECT(ADDRESS(2,COLUMN())),OFFSET($BN$2,0,0,ROW()-1,60),ROW()-1,FALSE))</f>
        <v/>
      </c>
      <c r="T129" t="str">
        <f ca="1">IF(AND(ISNUMBER($T$325),$B$185=1),$T$325,HLOOKUP(INDIRECT(ADDRESS(2,COLUMN())),OFFSET($BN$2,0,0,ROW()-1,60),ROW()-1,FALSE))</f>
        <v/>
      </c>
      <c r="U129" t="str">
        <f ca="1">IF(AND(ISNUMBER($U$325),$B$185=1),$U$325,HLOOKUP(INDIRECT(ADDRESS(2,COLUMN())),OFFSET($BN$2,0,0,ROW()-1,60),ROW()-1,FALSE))</f>
        <v/>
      </c>
      <c r="V129" t="str">
        <f ca="1">IF(AND(ISNUMBER($V$325),$B$185=1),$V$325,HLOOKUP(INDIRECT(ADDRESS(2,COLUMN())),OFFSET($BN$2,0,0,ROW()-1,60),ROW()-1,FALSE))</f>
        <v/>
      </c>
      <c r="W129" t="str">
        <f ca="1">IF(AND(ISNUMBER($W$325),$B$185=1),$W$325,HLOOKUP(INDIRECT(ADDRESS(2,COLUMN())),OFFSET($BN$2,0,0,ROW()-1,60),ROW()-1,FALSE))</f>
        <v/>
      </c>
      <c r="X129" t="str">
        <f ca="1">IF(AND(ISNUMBER($X$325),$B$185=1),$X$325,HLOOKUP(INDIRECT(ADDRESS(2,COLUMN())),OFFSET($BN$2,0,0,ROW()-1,60),ROW()-1,FALSE))</f>
        <v/>
      </c>
      <c r="Y129" t="str">
        <f ca="1">IF(AND(ISNUMBER($Y$325),$B$185=1),$Y$325,HLOOKUP(INDIRECT(ADDRESS(2,COLUMN())),OFFSET($BN$2,0,0,ROW()-1,60),ROW()-1,FALSE))</f>
        <v/>
      </c>
      <c r="Z129" t="str">
        <f ca="1">IF(AND(ISNUMBER($Z$325),$B$185=1),$Z$325,HLOOKUP(INDIRECT(ADDRESS(2,COLUMN())),OFFSET($BN$2,0,0,ROW()-1,60),ROW()-1,FALSE))</f>
        <v/>
      </c>
      <c r="AA129" t="str">
        <f ca="1">IF(AND(ISNUMBER($AA$325),$B$185=1),$AA$325,HLOOKUP(INDIRECT(ADDRESS(2,COLUMN())),OFFSET($BN$2,0,0,ROW()-1,60),ROW()-1,FALSE))</f>
        <v/>
      </c>
      <c r="AB129" t="str">
        <f ca="1">IF(AND(ISNUMBER($AB$325),$B$185=1),$AB$325,HLOOKUP(INDIRECT(ADDRESS(2,COLUMN())),OFFSET($BN$2,0,0,ROW()-1,60),ROW()-1,FALSE))</f>
        <v/>
      </c>
      <c r="AC129" t="str">
        <f ca="1">IF(AND(ISNUMBER($AC$325),$B$185=1),$AC$325,HLOOKUP(INDIRECT(ADDRESS(2,COLUMN())),OFFSET($BN$2,0,0,ROW()-1,60),ROW()-1,FALSE))</f>
        <v/>
      </c>
      <c r="AD129" t="str">
        <f ca="1">IF(AND(ISNUMBER($AD$325),$B$185=1),$AD$325,HLOOKUP(INDIRECT(ADDRESS(2,COLUMN())),OFFSET($BN$2,0,0,ROW()-1,60),ROW()-1,FALSE))</f>
        <v/>
      </c>
      <c r="AE129" t="str">
        <f ca="1">IF(AND(ISNUMBER($AE$325),$B$185=1),$AE$325,HLOOKUP(INDIRECT(ADDRESS(2,COLUMN())),OFFSET($BN$2,0,0,ROW()-1,60),ROW()-1,FALSE))</f>
        <v/>
      </c>
      <c r="AF129" t="str">
        <f ca="1">IF(AND(ISNUMBER($AF$325),$B$185=1),$AF$325,HLOOKUP(INDIRECT(ADDRESS(2,COLUMN())),OFFSET($BN$2,0,0,ROW()-1,60),ROW()-1,FALSE))</f>
        <v/>
      </c>
      <c r="AG129" t="str">
        <f ca="1">IF(AND(ISNUMBER($AG$325),$B$185=1),$AG$325,HLOOKUP(INDIRECT(ADDRESS(2,COLUMN())),OFFSET($BN$2,0,0,ROW()-1,60),ROW()-1,FALSE))</f>
        <v/>
      </c>
      <c r="AH129" t="str">
        <f ca="1">IF(AND(ISNUMBER($AH$325),$B$185=1),$AH$325,HLOOKUP(INDIRECT(ADDRESS(2,COLUMN())),OFFSET($BN$2,0,0,ROW()-1,60),ROW()-1,FALSE))</f>
        <v/>
      </c>
      <c r="AI129" t="str">
        <f ca="1">IF(AND(ISNUMBER($AI$325),$B$185=1),$AI$325,HLOOKUP(INDIRECT(ADDRESS(2,COLUMN())),OFFSET($BN$2,0,0,ROW()-1,60),ROW()-1,FALSE))</f>
        <v/>
      </c>
      <c r="AJ129" t="str">
        <f ca="1">IF(AND(ISNUMBER($AJ$325),$B$185=1),$AJ$325,HLOOKUP(INDIRECT(ADDRESS(2,COLUMN())),OFFSET($BN$2,0,0,ROW()-1,60),ROW()-1,FALSE))</f>
        <v/>
      </c>
      <c r="AK129" t="str">
        <f ca="1">IF(AND(ISNUMBER($AK$325),$B$185=1),$AK$325,HLOOKUP(INDIRECT(ADDRESS(2,COLUMN())),OFFSET($BN$2,0,0,ROW()-1,60),ROW()-1,FALSE))</f>
        <v/>
      </c>
      <c r="AL129" t="str">
        <f ca="1">IF(AND(ISNUMBER($AL$325),$B$185=1),$AL$325,HLOOKUP(INDIRECT(ADDRESS(2,COLUMN())),OFFSET($BN$2,0,0,ROW()-1,60),ROW()-1,FALSE))</f>
        <v/>
      </c>
      <c r="AM129" t="str">
        <f ca="1">IF(AND(ISNUMBER($AM$325),$B$185=1),$AM$325,HLOOKUP(INDIRECT(ADDRESS(2,COLUMN())),OFFSET($BN$2,0,0,ROW()-1,60),ROW()-1,FALSE))</f>
        <v/>
      </c>
      <c r="AN129" t="str">
        <f ca="1">IF(AND(ISNUMBER($AN$325),$B$185=1),$AN$325,HLOOKUP(INDIRECT(ADDRESS(2,COLUMN())),OFFSET($BN$2,0,0,ROW()-1,60),ROW()-1,FALSE))</f>
        <v/>
      </c>
      <c r="AO129" t="str">
        <f ca="1">IF(AND(ISNUMBER($AO$325),$B$185=1),$AO$325,HLOOKUP(INDIRECT(ADDRESS(2,COLUMN())),OFFSET($BN$2,0,0,ROW()-1,60),ROW()-1,FALSE))</f>
        <v/>
      </c>
      <c r="AP129" t="str">
        <f ca="1">IF(AND(ISNUMBER($AP$325),$B$185=1),$AP$325,HLOOKUP(INDIRECT(ADDRESS(2,COLUMN())),OFFSET($BN$2,0,0,ROW()-1,60),ROW()-1,FALSE))</f>
        <v/>
      </c>
      <c r="AQ129" t="str">
        <f ca="1">IF(AND(ISNUMBER($AQ$325),$B$185=1),$AQ$325,HLOOKUP(INDIRECT(ADDRESS(2,COLUMN())),OFFSET($BN$2,0,0,ROW()-1,60),ROW()-1,FALSE))</f>
        <v/>
      </c>
      <c r="AR129" t="str">
        <f ca="1">IF(AND(ISNUMBER($AR$325),$B$185=1),$AR$325,HLOOKUP(INDIRECT(ADDRESS(2,COLUMN())),OFFSET($BN$2,0,0,ROW()-1,60),ROW()-1,FALSE))</f>
        <v/>
      </c>
      <c r="AS129" t="str">
        <f ca="1">IF(AND(ISNUMBER($AS$325),$B$185=1),$AS$325,HLOOKUP(INDIRECT(ADDRESS(2,COLUMN())),OFFSET($BN$2,0,0,ROW()-1,60),ROW()-1,FALSE))</f>
        <v/>
      </c>
      <c r="AT129" t="str">
        <f ca="1">IF(AND(ISNUMBER($AT$325),$B$185=1),$AT$325,HLOOKUP(INDIRECT(ADDRESS(2,COLUMN())),OFFSET($BN$2,0,0,ROW()-1,60),ROW()-1,FALSE))</f>
        <v/>
      </c>
      <c r="AU129" t="str">
        <f ca="1">IF(AND(ISNUMBER($AU$325),$B$185=1),$AU$325,HLOOKUP(INDIRECT(ADDRESS(2,COLUMN())),OFFSET($BN$2,0,0,ROW()-1,60),ROW()-1,FALSE))</f>
        <v/>
      </c>
      <c r="AV129" t="str">
        <f ca="1">IF(AND(ISNUMBER($AV$325),$B$185=1),$AV$325,HLOOKUP(INDIRECT(ADDRESS(2,COLUMN())),OFFSET($BN$2,0,0,ROW()-1,60),ROW()-1,FALSE))</f>
        <v/>
      </c>
      <c r="AW129" t="str">
        <f ca="1">IF(AND(ISNUMBER($AW$325),$B$185=1),$AW$325,HLOOKUP(INDIRECT(ADDRESS(2,COLUMN())),OFFSET($BN$2,0,0,ROW()-1,60),ROW()-1,FALSE))</f>
        <v/>
      </c>
      <c r="AX129" t="str">
        <f ca="1">IF(AND(ISNUMBER($AX$325),$B$185=1),$AX$325,HLOOKUP(INDIRECT(ADDRESS(2,COLUMN())),OFFSET($BN$2,0,0,ROW()-1,60),ROW()-1,FALSE))</f>
        <v/>
      </c>
      <c r="AY129" t="str">
        <f ca="1">IF(AND(ISNUMBER($AY$325),$B$185=1),$AY$325,HLOOKUP(INDIRECT(ADDRESS(2,COLUMN())),OFFSET($BN$2,0,0,ROW()-1,60),ROW()-1,FALSE))</f>
        <v/>
      </c>
      <c r="AZ129" t="str">
        <f ca="1">IF(AND(ISNUMBER($AZ$325),$B$185=1),$AZ$325,HLOOKUP(INDIRECT(ADDRESS(2,COLUMN())),OFFSET($BN$2,0,0,ROW()-1,60),ROW()-1,FALSE))</f>
        <v/>
      </c>
      <c r="BA129" t="str">
        <f ca="1">IF(AND(ISNUMBER($BA$325),$B$185=1),$BA$325,HLOOKUP(INDIRECT(ADDRESS(2,COLUMN())),OFFSET($BN$2,0,0,ROW()-1,60),ROW()-1,FALSE))</f>
        <v/>
      </c>
      <c r="BB129" t="str">
        <f ca="1">IF(AND(ISNUMBER($BB$325),$B$185=1),$BB$325,HLOOKUP(INDIRECT(ADDRESS(2,COLUMN())),OFFSET($BN$2,0,0,ROW()-1,60),ROW()-1,FALSE))</f>
        <v/>
      </c>
      <c r="BC129" t="str">
        <f ca="1">IF(AND(ISNUMBER($BC$325),$B$185=1),$BC$325,HLOOKUP(INDIRECT(ADDRESS(2,COLUMN())),OFFSET($BN$2,0,0,ROW()-1,60),ROW()-1,FALSE))</f>
        <v/>
      </c>
      <c r="BD129" t="str">
        <f ca="1">IF(AND(ISNUMBER($BD$325),$B$185=1),$BD$325,HLOOKUP(INDIRECT(ADDRESS(2,COLUMN())),OFFSET($BN$2,0,0,ROW()-1,60),ROW()-1,FALSE))</f>
        <v/>
      </c>
      <c r="BE129" t="str">
        <f ca="1">IF(AND(ISNUMBER($BE$325),$B$185=1),$BE$325,HLOOKUP(INDIRECT(ADDRESS(2,COLUMN())),OFFSET($BN$2,0,0,ROW()-1,60),ROW()-1,FALSE))</f>
        <v/>
      </c>
      <c r="BF129" t="str">
        <f ca="1">IF(AND(ISNUMBER($BF$325),$B$185=1),$BF$325,HLOOKUP(INDIRECT(ADDRESS(2,COLUMN())),OFFSET($BN$2,0,0,ROW()-1,60),ROW()-1,FALSE))</f>
        <v/>
      </c>
      <c r="BG129" t="str">
        <f ca="1">IF(AND(ISNUMBER($BG$325),$B$185=1),$BG$325,HLOOKUP(INDIRECT(ADDRESS(2,COLUMN())),OFFSET($BN$2,0,0,ROW()-1,60),ROW()-1,FALSE))</f>
        <v/>
      </c>
      <c r="BH129" t="str">
        <f ca="1">IF(AND(ISNUMBER($BH$325),$B$185=1),$BH$325,HLOOKUP(INDIRECT(ADDRESS(2,COLUMN())),OFFSET($BN$2,0,0,ROW()-1,60),ROW()-1,FALSE))</f>
        <v/>
      </c>
      <c r="BI129" t="str">
        <f ca="1">IF(AND(ISNUMBER($BI$325),$B$185=1),$BI$325,HLOOKUP(INDIRECT(ADDRESS(2,COLUMN())),OFFSET($BN$2,0,0,ROW()-1,60),ROW()-1,FALSE))</f>
        <v/>
      </c>
      <c r="BJ129" t="str">
        <f ca="1">IF(AND(ISNUMBER($BJ$325),$B$185=1),$BJ$325,HLOOKUP(INDIRECT(ADDRESS(2,COLUMN())),OFFSET($BN$2,0,0,ROW()-1,60),ROW()-1,FALSE))</f>
        <v/>
      </c>
      <c r="BK129" t="str">
        <f ca="1">IF(AND(ISNUMBER($BK$325),$B$185=1),$BK$325,HLOOKUP(INDIRECT(ADDRESS(2,COLUMN())),OFFSET($BN$2,0,0,ROW()-1,60),ROW()-1,FALSE))</f>
        <v/>
      </c>
      <c r="BL129" t="str">
        <f ca="1">IF(AND(ISNUMBER($BL$325),$B$185=1),$BL$325,HLOOKUP(INDIRECT(ADDRESS(2,COLUMN())),OFFSET($BN$2,0,0,ROW()-1,60),ROW()-1,FALSE))</f>
        <v/>
      </c>
      <c r="BM129" t="str">
        <f ca="1">IF(AND(ISNUMBER($BM$325),$B$185=1),$BM$325,HLOOKUP(INDIRECT(ADDRESS(2,COLUMN())),OFFSET($BN$2,0,0,ROW()-1,60),ROW()-1,FALSE))</f>
        <v/>
      </c>
      <c r="BN129" t="str">
        <f>""</f>
        <v/>
      </c>
      <c r="BO129" t="str">
        <f>""</f>
        <v/>
      </c>
      <c r="BP129" t="str">
        <f>""</f>
        <v/>
      </c>
      <c r="BQ129" t="str">
        <f>""</f>
        <v/>
      </c>
      <c r="BR129" t="str">
        <f>""</f>
        <v/>
      </c>
      <c r="BS129" t="str">
        <f>""</f>
        <v/>
      </c>
      <c r="BT129" t="str">
        <f>""</f>
        <v/>
      </c>
      <c r="BU129" t="str">
        <f>""</f>
        <v/>
      </c>
      <c r="BV129" t="str">
        <f>""</f>
        <v/>
      </c>
      <c r="BW129" t="str">
        <f>""</f>
        <v/>
      </c>
      <c r="BX129" t="str">
        <f>""</f>
        <v/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  <c r="CI129" t="str">
        <f>""</f>
        <v/>
      </c>
      <c r="CJ129" t="str">
        <f>""</f>
        <v/>
      </c>
      <c r="CK129" t="str">
        <f>""</f>
        <v/>
      </c>
      <c r="CL129" t="str">
        <f>""</f>
        <v/>
      </c>
      <c r="CM129" t="str">
        <f>""</f>
        <v/>
      </c>
      <c r="CN129" t="str">
        <f>""</f>
        <v/>
      </c>
      <c r="CO129" t="str">
        <f>""</f>
        <v/>
      </c>
      <c r="CP129" t="str">
        <f>""</f>
        <v/>
      </c>
      <c r="CQ129" t="str">
        <f>""</f>
        <v/>
      </c>
      <c r="CR129" t="str">
        <f>""</f>
        <v/>
      </c>
      <c r="CS129" t="str">
        <f>""</f>
        <v/>
      </c>
      <c r="CT129" t="str">
        <f>""</f>
        <v/>
      </c>
      <c r="CU129" t="str">
        <f>""</f>
        <v/>
      </c>
      <c r="CV129" t="str">
        <f>""</f>
        <v/>
      </c>
      <c r="CW129" t="str">
        <f>""</f>
        <v/>
      </c>
      <c r="CX129" t="str">
        <f>""</f>
        <v/>
      </c>
      <c r="CY129" t="str">
        <f>""</f>
        <v/>
      </c>
      <c r="CZ129" t="str">
        <f>""</f>
        <v/>
      </c>
      <c r="DA129" t="str">
        <f>""</f>
        <v/>
      </c>
      <c r="DB129" t="str">
        <f>""</f>
        <v/>
      </c>
      <c r="DC129" t="str">
        <f>""</f>
        <v/>
      </c>
      <c r="DD129" t="str">
        <f>""</f>
        <v/>
      </c>
      <c r="DE129" t="str">
        <f>""</f>
        <v/>
      </c>
      <c r="DF129" t="str">
        <f>""</f>
        <v/>
      </c>
      <c r="DG129" t="str">
        <f>""</f>
        <v/>
      </c>
      <c r="DH129" t="str">
        <f>""</f>
        <v/>
      </c>
      <c r="DI129" t="str">
        <f>""</f>
        <v/>
      </c>
      <c r="DJ129" t="str">
        <f>""</f>
        <v/>
      </c>
      <c r="DK129" t="str">
        <f>""</f>
        <v/>
      </c>
      <c r="DL129" t="str">
        <f>""</f>
        <v/>
      </c>
      <c r="DM129" t="str">
        <f>""</f>
        <v/>
      </c>
      <c r="DN129" t="str">
        <f>""</f>
        <v/>
      </c>
      <c r="DO129" t="str">
        <f>""</f>
        <v/>
      </c>
      <c r="DP129" t="str">
        <f>""</f>
        <v/>
      </c>
      <c r="DQ129" t="str">
        <f>""</f>
        <v/>
      </c>
      <c r="DR129" t="str">
        <f>""</f>
        <v/>
      </c>
      <c r="DS129" t="str">
        <f>""</f>
        <v/>
      </c>
      <c r="DT129" t="str">
        <f>""</f>
        <v/>
      </c>
      <c r="DU129" t="str">
        <f>""</f>
        <v/>
      </c>
    </row>
    <row r="130" spans="1:125">
      <c r="A130" t="str">
        <f>"    East West Bancorp Inc"</f>
        <v xml:space="preserve">    East West Bancorp Inc</v>
      </c>
      <c r="B130" t="str">
        <f>"EWBC US Equity"</f>
        <v>EWBC US Equity</v>
      </c>
      <c r="C130" t="str">
        <f t="shared" si="16"/>
        <v>BS965</v>
      </c>
      <c r="D130" t="str">
        <f t="shared" si="17"/>
        <v>BS_COMML_MTG_SERVICING_PORTFOLIO</v>
      </c>
      <c r="E130" t="str">
        <f t="shared" si="18"/>
        <v>Dynamic</v>
      </c>
      <c r="F130" t="str">
        <f ca="1">IF(AND(ISNUMBER($F$326),$B$185=1),$F$326,HLOOKUP(INDIRECT(ADDRESS(2,COLUMN())),OFFSET($BN$2,0,0,ROW()-1,60),ROW()-1,FALSE))</f>
        <v/>
      </c>
      <c r="G130" t="str">
        <f ca="1">IF(AND(ISNUMBER($G$326),$B$185=1),$G$326,HLOOKUP(INDIRECT(ADDRESS(2,COLUMN())),OFFSET($BN$2,0,0,ROW()-1,60),ROW()-1,FALSE))</f>
        <v/>
      </c>
      <c r="H130" t="str">
        <f ca="1">IF(AND(ISNUMBER($H$326),$B$185=1),$H$326,HLOOKUP(INDIRECT(ADDRESS(2,COLUMN())),OFFSET($BN$2,0,0,ROW()-1,60),ROW()-1,FALSE))</f>
        <v/>
      </c>
      <c r="I130" t="str">
        <f ca="1">IF(AND(ISNUMBER($I$326),$B$185=1),$I$326,HLOOKUP(INDIRECT(ADDRESS(2,COLUMN())),OFFSET($BN$2,0,0,ROW()-1,60),ROW()-1,FALSE))</f>
        <v/>
      </c>
      <c r="J130" t="str">
        <f ca="1">IF(AND(ISNUMBER($J$326),$B$185=1),$J$326,HLOOKUP(INDIRECT(ADDRESS(2,COLUMN())),OFFSET($BN$2,0,0,ROW()-1,60),ROW()-1,FALSE))</f>
        <v/>
      </c>
      <c r="K130" t="str">
        <f ca="1">IF(AND(ISNUMBER($K$326),$B$185=1),$K$326,HLOOKUP(INDIRECT(ADDRESS(2,COLUMN())),OFFSET($BN$2,0,0,ROW()-1,60),ROW()-1,FALSE))</f>
        <v/>
      </c>
      <c r="L130" t="str">
        <f ca="1">IF(AND(ISNUMBER($L$326),$B$185=1),$L$326,HLOOKUP(INDIRECT(ADDRESS(2,COLUMN())),OFFSET($BN$2,0,0,ROW()-1,60),ROW()-1,FALSE))</f>
        <v/>
      </c>
      <c r="M130" t="str">
        <f ca="1">IF(AND(ISNUMBER($M$326),$B$185=1),$M$326,HLOOKUP(INDIRECT(ADDRESS(2,COLUMN())),OFFSET($BN$2,0,0,ROW()-1,60),ROW()-1,FALSE))</f>
        <v/>
      </c>
      <c r="N130" t="str">
        <f ca="1">IF(AND(ISNUMBER($N$326),$B$185=1),$N$326,HLOOKUP(INDIRECT(ADDRESS(2,COLUMN())),OFFSET($BN$2,0,0,ROW()-1,60),ROW()-1,FALSE))</f>
        <v/>
      </c>
      <c r="O130" t="str">
        <f ca="1">IF(AND(ISNUMBER($O$326),$B$185=1),$O$326,HLOOKUP(INDIRECT(ADDRESS(2,COLUMN())),OFFSET($BN$2,0,0,ROW()-1,60),ROW()-1,FALSE))</f>
        <v/>
      </c>
      <c r="P130" t="str">
        <f ca="1">IF(AND(ISNUMBER($P$326),$B$185=1),$P$326,HLOOKUP(INDIRECT(ADDRESS(2,COLUMN())),OFFSET($BN$2,0,0,ROW()-1,60),ROW()-1,FALSE))</f>
        <v/>
      </c>
      <c r="Q130" t="str">
        <f ca="1">IF(AND(ISNUMBER($Q$326),$B$185=1),$Q$326,HLOOKUP(INDIRECT(ADDRESS(2,COLUMN())),OFFSET($BN$2,0,0,ROW()-1,60),ROW()-1,FALSE))</f>
        <v/>
      </c>
      <c r="R130" t="str">
        <f ca="1">IF(AND(ISNUMBER($R$326),$B$185=1),$R$326,HLOOKUP(INDIRECT(ADDRESS(2,COLUMN())),OFFSET($BN$2,0,0,ROW()-1,60),ROW()-1,FALSE))</f>
        <v/>
      </c>
      <c r="S130" t="str">
        <f ca="1">IF(AND(ISNUMBER($S$326),$B$185=1),$S$326,HLOOKUP(INDIRECT(ADDRESS(2,COLUMN())),OFFSET($BN$2,0,0,ROW()-1,60),ROW()-1,FALSE))</f>
        <v/>
      </c>
      <c r="T130" t="str">
        <f ca="1">IF(AND(ISNUMBER($T$326),$B$185=1),$T$326,HLOOKUP(INDIRECT(ADDRESS(2,COLUMN())),OFFSET($BN$2,0,0,ROW()-1,60),ROW()-1,FALSE))</f>
        <v/>
      </c>
      <c r="U130" t="str">
        <f ca="1">IF(AND(ISNUMBER($U$326),$B$185=1),$U$326,HLOOKUP(INDIRECT(ADDRESS(2,COLUMN())),OFFSET($BN$2,0,0,ROW()-1,60),ROW()-1,FALSE))</f>
        <v/>
      </c>
      <c r="V130" t="str">
        <f ca="1">IF(AND(ISNUMBER($V$326),$B$185=1),$V$326,HLOOKUP(INDIRECT(ADDRESS(2,COLUMN())),OFFSET($BN$2,0,0,ROW()-1,60),ROW()-1,FALSE))</f>
        <v/>
      </c>
      <c r="W130" t="str">
        <f ca="1">IF(AND(ISNUMBER($W$326),$B$185=1),$W$326,HLOOKUP(INDIRECT(ADDRESS(2,COLUMN())),OFFSET($BN$2,0,0,ROW()-1,60),ROW()-1,FALSE))</f>
        <v/>
      </c>
      <c r="X130" t="str">
        <f ca="1">IF(AND(ISNUMBER($X$326),$B$185=1),$X$326,HLOOKUP(INDIRECT(ADDRESS(2,COLUMN())),OFFSET($BN$2,0,0,ROW()-1,60),ROW()-1,FALSE))</f>
        <v/>
      </c>
      <c r="Y130" t="str">
        <f ca="1">IF(AND(ISNUMBER($Y$326),$B$185=1),$Y$326,HLOOKUP(INDIRECT(ADDRESS(2,COLUMN())),OFFSET($BN$2,0,0,ROW()-1,60),ROW()-1,FALSE))</f>
        <v/>
      </c>
      <c r="Z130" t="str">
        <f ca="1">IF(AND(ISNUMBER($Z$326),$B$185=1),$Z$326,HLOOKUP(INDIRECT(ADDRESS(2,COLUMN())),OFFSET($BN$2,0,0,ROW()-1,60),ROW()-1,FALSE))</f>
        <v/>
      </c>
      <c r="AA130" t="str">
        <f ca="1">IF(AND(ISNUMBER($AA$326),$B$185=1),$AA$326,HLOOKUP(INDIRECT(ADDRESS(2,COLUMN())),OFFSET($BN$2,0,0,ROW()-1,60),ROW()-1,FALSE))</f>
        <v/>
      </c>
      <c r="AB130" t="str">
        <f ca="1">IF(AND(ISNUMBER($AB$326),$B$185=1),$AB$326,HLOOKUP(INDIRECT(ADDRESS(2,COLUMN())),OFFSET($BN$2,0,0,ROW()-1,60),ROW()-1,FALSE))</f>
        <v/>
      </c>
      <c r="AC130" t="str">
        <f ca="1">IF(AND(ISNUMBER($AC$326),$B$185=1),$AC$326,HLOOKUP(INDIRECT(ADDRESS(2,COLUMN())),OFFSET($BN$2,0,0,ROW()-1,60),ROW()-1,FALSE))</f>
        <v/>
      </c>
      <c r="AD130" t="str">
        <f ca="1">IF(AND(ISNUMBER($AD$326),$B$185=1),$AD$326,HLOOKUP(INDIRECT(ADDRESS(2,COLUMN())),OFFSET($BN$2,0,0,ROW()-1,60),ROW()-1,FALSE))</f>
        <v/>
      </c>
      <c r="AE130" t="str">
        <f ca="1">IF(AND(ISNUMBER($AE$326),$B$185=1),$AE$326,HLOOKUP(INDIRECT(ADDRESS(2,COLUMN())),OFFSET($BN$2,0,0,ROW()-1,60),ROW()-1,FALSE))</f>
        <v/>
      </c>
      <c r="AF130" t="str">
        <f ca="1">IF(AND(ISNUMBER($AF$326),$B$185=1),$AF$326,HLOOKUP(INDIRECT(ADDRESS(2,COLUMN())),OFFSET($BN$2,0,0,ROW()-1,60),ROW()-1,FALSE))</f>
        <v/>
      </c>
      <c r="AG130" t="str">
        <f ca="1">IF(AND(ISNUMBER($AG$326),$B$185=1),$AG$326,HLOOKUP(INDIRECT(ADDRESS(2,COLUMN())),OFFSET($BN$2,0,0,ROW()-1,60),ROW()-1,FALSE))</f>
        <v/>
      </c>
      <c r="AH130" t="str">
        <f ca="1">IF(AND(ISNUMBER($AH$326),$B$185=1),$AH$326,HLOOKUP(INDIRECT(ADDRESS(2,COLUMN())),OFFSET($BN$2,0,0,ROW()-1,60),ROW()-1,FALSE))</f>
        <v/>
      </c>
      <c r="AI130" t="str">
        <f ca="1">IF(AND(ISNUMBER($AI$326),$B$185=1),$AI$326,HLOOKUP(INDIRECT(ADDRESS(2,COLUMN())),OFFSET($BN$2,0,0,ROW()-1,60),ROW()-1,FALSE))</f>
        <v/>
      </c>
      <c r="AJ130" t="str">
        <f ca="1">IF(AND(ISNUMBER($AJ$326),$B$185=1),$AJ$326,HLOOKUP(INDIRECT(ADDRESS(2,COLUMN())),OFFSET($BN$2,0,0,ROW()-1,60),ROW()-1,FALSE))</f>
        <v/>
      </c>
      <c r="AK130" t="str">
        <f ca="1">IF(AND(ISNUMBER($AK$326),$B$185=1),$AK$326,HLOOKUP(INDIRECT(ADDRESS(2,COLUMN())),OFFSET($BN$2,0,0,ROW()-1,60),ROW()-1,FALSE))</f>
        <v/>
      </c>
      <c r="AL130" t="str">
        <f ca="1">IF(AND(ISNUMBER($AL$326),$B$185=1),$AL$326,HLOOKUP(INDIRECT(ADDRESS(2,COLUMN())),OFFSET($BN$2,0,0,ROW()-1,60),ROW()-1,FALSE))</f>
        <v/>
      </c>
      <c r="AM130" t="str">
        <f ca="1">IF(AND(ISNUMBER($AM$326),$B$185=1),$AM$326,HLOOKUP(INDIRECT(ADDRESS(2,COLUMN())),OFFSET($BN$2,0,0,ROW()-1,60),ROW()-1,FALSE))</f>
        <v/>
      </c>
      <c r="AN130" t="str">
        <f ca="1">IF(AND(ISNUMBER($AN$326),$B$185=1),$AN$326,HLOOKUP(INDIRECT(ADDRESS(2,COLUMN())),OFFSET($BN$2,0,0,ROW()-1,60),ROW()-1,FALSE))</f>
        <v/>
      </c>
      <c r="AO130" t="str">
        <f ca="1">IF(AND(ISNUMBER($AO$326),$B$185=1),$AO$326,HLOOKUP(INDIRECT(ADDRESS(2,COLUMN())),OFFSET($BN$2,0,0,ROW()-1,60),ROW()-1,FALSE))</f>
        <v/>
      </c>
      <c r="AP130" t="str">
        <f ca="1">IF(AND(ISNUMBER($AP$326),$B$185=1),$AP$326,HLOOKUP(INDIRECT(ADDRESS(2,COLUMN())),OFFSET($BN$2,0,0,ROW()-1,60),ROW()-1,FALSE))</f>
        <v/>
      </c>
      <c r="AQ130" t="str">
        <f ca="1">IF(AND(ISNUMBER($AQ$326),$B$185=1),$AQ$326,HLOOKUP(INDIRECT(ADDRESS(2,COLUMN())),OFFSET($BN$2,0,0,ROW()-1,60),ROW()-1,FALSE))</f>
        <v/>
      </c>
      <c r="AR130" t="str">
        <f ca="1">IF(AND(ISNUMBER($AR$326),$B$185=1),$AR$326,HLOOKUP(INDIRECT(ADDRESS(2,COLUMN())),OFFSET($BN$2,0,0,ROW()-1,60),ROW()-1,FALSE))</f>
        <v/>
      </c>
      <c r="AS130" t="str">
        <f ca="1">IF(AND(ISNUMBER($AS$326),$B$185=1),$AS$326,HLOOKUP(INDIRECT(ADDRESS(2,COLUMN())),OFFSET($BN$2,0,0,ROW()-1,60),ROW()-1,FALSE))</f>
        <v/>
      </c>
      <c r="AT130" t="str">
        <f ca="1">IF(AND(ISNUMBER($AT$326),$B$185=1),$AT$326,HLOOKUP(INDIRECT(ADDRESS(2,COLUMN())),OFFSET($BN$2,0,0,ROW()-1,60),ROW()-1,FALSE))</f>
        <v/>
      </c>
      <c r="AU130" t="str">
        <f ca="1">IF(AND(ISNUMBER($AU$326),$B$185=1),$AU$326,HLOOKUP(INDIRECT(ADDRESS(2,COLUMN())),OFFSET($BN$2,0,0,ROW()-1,60),ROW()-1,FALSE))</f>
        <v/>
      </c>
      <c r="AV130" t="str">
        <f ca="1">IF(AND(ISNUMBER($AV$326),$B$185=1),$AV$326,HLOOKUP(INDIRECT(ADDRESS(2,COLUMN())),OFFSET($BN$2,0,0,ROW()-1,60),ROW()-1,FALSE))</f>
        <v/>
      </c>
      <c r="AW130" t="str">
        <f ca="1">IF(AND(ISNUMBER($AW$326),$B$185=1),$AW$326,HLOOKUP(INDIRECT(ADDRESS(2,COLUMN())),OFFSET($BN$2,0,0,ROW()-1,60),ROW()-1,FALSE))</f>
        <v/>
      </c>
      <c r="AX130" t="str">
        <f ca="1">IF(AND(ISNUMBER($AX$326),$B$185=1),$AX$326,HLOOKUP(INDIRECT(ADDRESS(2,COLUMN())),OFFSET($BN$2,0,0,ROW()-1,60),ROW()-1,FALSE))</f>
        <v/>
      </c>
      <c r="AY130" t="str">
        <f ca="1">IF(AND(ISNUMBER($AY$326),$B$185=1),$AY$326,HLOOKUP(INDIRECT(ADDRESS(2,COLUMN())),OFFSET($BN$2,0,0,ROW()-1,60),ROW()-1,FALSE))</f>
        <v/>
      </c>
      <c r="AZ130" t="str">
        <f ca="1">IF(AND(ISNUMBER($AZ$326),$B$185=1),$AZ$326,HLOOKUP(INDIRECT(ADDRESS(2,COLUMN())),OFFSET($BN$2,0,0,ROW()-1,60),ROW()-1,FALSE))</f>
        <v/>
      </c>
      <c r="BA130" t="str">
        <f ca="1">IF(AND(ISNUMBER($BA$326),$B$185=1),$BA$326,HLOOKUP(INDIRECT(ADDRESS(2,COLUMN())),OFFSET($BN$2,0,0,ROW()-1,60),ROW()-1,FALSE))</f>
        <v/>
      </c>
      <c r="BB130" t="str">
        <f ca="1">IF(AND(ISNUMBER($BB$326),$B$185=1),$BB$326,HLOOKUP(INDIRECT(ADDRESS(2,COLUMN())),OFFSET($BN$2,0,0,ROW()-1,60),ROW()-1,FALSE))</f>
        <v/>
      </c>
      <c r="BC130" t="str">
        <f ca="1">IF(AND(ISNUMBER($BC$326),$B$185=1),$BC$326,HLOOKUP(INDIRECT(ADDRESS(2,COLUMN())),OFFSET($BN$2,0,0,ROW()-1,60),ROW()-1,FALSE))</f>
        <v/>
      </c>
      <c r="BD130" t="str">
        <f ca="1">IF(AND(ISNUMBER($BD$326),$B$185=1),$BD$326,HLOOKUP(INDIRECT(ADDRESS(2,COLUMN())),OFFSET($BN$2,0,0,ROW()-1,60),ROW()-1,FALSE))</f>
        <v/>
      </c>
      <c r="BE130" t="str">
        <f ca="1">IF(AND(ISNUMBER($BE$326),$B$185=1),$BE$326,HLOOKUP(INDIRECT(ADDRESS(2,COLUMN())),OFFSET($BN$2,0,0,ROW()-1,60),ROW()-1,FALSE))</f>
        <v/>
      </c>
      <c r="BF130" t="str">
        <f ca="1">IF(AND(ISNUMBER($BF$326),$B$185=1),$BF$326,HLOOKUP(INDIRECT(ADDRESS(2,COLUMN())),OFFSET($BN$2,0,0,ROW()-1,60),ROW()-1,FALSE))</f>
        <v/>
      </c>
      <c r="BG130" t="str">
        <f ca="1">IF(AND(ISNUMBER($BG$326),$B$185=1),$BG$326,HLOOKUP(INDIRECT(ADDRESS(2,COLUMN())),OFFSET($BN$2,0,0,ROW()-1,60),ROW()-1,FALSE))</f>
        <v/>
      </c>
      <c r="BH130" t="str">
        <f ca="1">IF(AND(ISNUMBER($BH$326),$B$185=1),$BH$326,HLOOKUP(INDIRECT(ADDRESS(2,COLUMN())),OFFSET($BN$2,0,0,ROW()-1,60),ROW()-1,FALSE))</f>
        <v/>
      </c>
      <c r="BI130" t="str">
        <f ca="1">IF(AND(ISNUMBER($BI$326),$B$185=1),$BI$326,HLOOKUP(INDIRECT(ADDRESS(2,COLUMN())),OFFSET($BN$2,0,0,ROW()-1,60),ROW()-1,FALSE))</f>
        <v/>
      </c>
      <c r="BJ130" t="str">
        <f ca="1">IF(AND(ISNUMBER($BJ$326),$B$185=1),$BJ$326,HLOOKUP(INDIRECT(ADDRESS(2,COLUMN())),OFFSET($BN$2,0,0,ROW()-1,60),ROW()-1,FALSE))</f>
        <v/>
      </c>
      <c r="BK130" t="str">
        <f ca="1">IF(AND(ISNUMBER($BK$326),$B$185=1),$BK$326,HLOOKUP(INDIRECT(ADDRESS(2,COLUMN())),OFFSET($BN$2,0,0,ROW()-1,60),ROW()-1,FALSE))</f>
        <v/>
      </c>
      <c r="BL130" t="str">
        <f ca="1">IF(AND(ISNUMBER($BL$326),$B$185=1),$BL$326,HLOOKUP(INDIRECT(ADDRESS(2,COLUMN())),OFFSET($BN$2,0,0,ROW()-1,60),ROW()-1,FALSE))</f>
        <v/>
      </c>
      <c r="BM130" t="str">
        <f ca="1">IF(AND(ISNUMBER($BM$326),$B$185=1),$BM$326,HLOOKUP(INDIRECT(ADDRESS(2,COLUMN())),OFFSET($BN$2,0,0,ROW()-1,60),ROW()-1,FALSE))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 t="str">
        <f>""</f>
        <v/>
      </c>
      <c r="BS130" t="str">
        <f>""</f>
        <v/>
      </c>
      <c r="BT130" t="str">
        <f>""</f>
        <v/>
      </c>
      <c r="BU130" t="str">
        <f>""</f>
        <v/>
      </c>
      <c r="BV130" t="str">
        <f>""</f>
        <v/>
      </c>
      <c r="BW130" t="str">
        <f>""</f>
        <v/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  <c r="CI130" t="str">
        <f>""</f>
        <v/>
      </c>
      <c r="CJ130" t="str">
        <f>""</f>
        <v/>
      </c>
      <c r="CK130" t="str">
        <f>""</f>
        <v/>
      </c>
      <c r="CL130" t="str">
        <f>""</f>
        <v/>
      </c>
      <c r="CM130" t="str">
        <f>""</f>
        <v/>
      </c>
      <c r="CN130" t="str">
        <f>""</f>
        <v/>
      </c>
      <c r="CO130" t="str">
        <f>""</f>
        <v/>
      </c>
      <c r="CP130" t="str">
        <f>""</f>
        <v/>
      </c>
      <c r="CQ130" t="str">
        <f>""</f>
        <v/>
      </c>
      <c r="CR130" t="str">
        <f>""</f>
        <v/>
      </c>
      <c r="CS130" t="str">
        <f>""</f>
        <v/>
      </c>
      <c r="CT130" t="str">
        <f>""</f>
        <v/>
      </c>
      <c r="CU130" t="str">
        <f>""</f>
        <v/>
      </c>
      <c r="CV130" t="str">
        <f>""</f>
        <v/>
      </c>
      <c r="CW130" t="str">
        <f>""</f>
        <v/>
      </c>
      <c r="CX130" t="str">
        <f>""</f>
        <v/>
      </c>
      <c r="CY130" t="str">
        <f>""</f>
        <v/>
      </c>
      <c r="CZ130" t="str">
        <f>""</f>
        <v/>
      </c>
      <c r="DA130" t="str">
        <f>""</f>
        <v/>
      </c>
      <c r="DB130" t="str">
        <f>""</f>
        <v/>
      </c>
      <c r="DC130" t="str">
        <f>""</f>
        <v/>
      </c>
      <c r="DD130" t="str">
        <f>""</f>
        <v/>
      </c>
      <c r="DE130" t="str">
        <f>""</f>
        <v/>
      </c>
      <c r="DF130" t="str">
        <f>""</f>
        <v/>
      </c>
      <c r="DG130" t="str">
        <f>""</f>
        <v/>
      </c>
      <c r="DH130" t="str">
        <f>""</f>
        <v/>
      </c>
      <c r="DI130" t="str">
        <f>""</f>
        <v/>
      </c>
      <c r="DJ130" t="str">
        <f>""</f>
        <v/>
      </c>
      <c r="DK130" t="str">
        <f>""</f>
        <v/>
      </c>
      <c r="DL130" t="str">
        <f>""</f>
        <v/>
      </c>
      <c r="DM130" t="str">
        <f>""</f>
        <v/>
      </c>
      <c r="DN130" t="str">
        <f>""</f>
        <v/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>
      <c r="A131" t="str">
        <f>"    First Horizon Corp"</f>
        <v xml:space="preserve">    First Horizon Corp</v>
      </c>
      <c r="B131" t="str">
        <f>"FHN US Equity"</f>
        <v>FHN US Equity</v>
      </c>
      <c r="C131" t="str">
        <f t="shared" si="16"/>
        <v>BS965</v>
      </c>
      <c r="D131" t="str">
        <f t="shared" si="17"/>
        <v>BS_COMML_MTG_SERVICING_PORTFOLIO</v>
      </c>
      <c r="E131" t="str">
        <f t="shared" si="18"/>
        <v>Dynamic</v>
      </c>
      <c r="F131" t="str">
        <f ca="1">IF(AND(ISNUMBER($F$327),$B$185=1),$F$327,HLOOKUP(INDIRECT(ADDRESS(2,COLUMN())),OFFSET($BN$2,0,0,ROW()-1,60),ROW()-1,FALSE))</f>
        <v/>
      </c>
      <c r="G131" t="str">
        <f ca="1">IF(AND(ISNUMBER($G$327),$B$185=1),$G$327,HLOOKUP(INDIRECT(ADDRESS(2,COLUMN())),OFFSET($BN$2,0,0,ROW()-1,60),ROW()-1,FALSE))</f>
        <v/>
      </c>
      <c r="H131" t="str">
        <f ca="1">IF(AND(ISNUMBER($H$327),$B$185=1),$H$327,HLOOKUP(INDIRECT(ADDRESS(2,COLUMN())),OFFSET($BN$2,0,0,ROW()-1,60),ROW()-1,FALSE))</f>
        <v/>
      </c>
      <c r="I131" t="str">
        <f ca="1">IF(AND(ISNUMBER($I$327),$B$185=1),$I$327,HLOOKUP(INDIRECT(ADDRESS(2,COLUMN())),OFFSET($BN$2,0,0,ROW()-1,60),ROW()-1,FALSE))</f>
        <v/>
      </c>
      <c r="J131" t="str">
        <f ca="1">IF(AND(ISNUMBER($J$327),$B$185=1),$J$327,HLOOKUP(INDIRECT(ADDRESS(2,COLUMN())),OFFSET($BN$2,0,0,ROW()-1,60),ROW()-1,FALSE))</f>
        <v/>
      </c>
      <c r="K131" t="str">
        <f ca="1">IF(AND(ISNUMBER($K$327),$B$185=1),$K$327,HLOOKUP(INDIRECT(ADDRESS(2,COLUMN())),OFFSET($BN$2,0,0,ROW()-1,60),ROW()-1,FALSE))</f>
        <v/>
      </c>
      <c r="L131" t="str">
        <f ca="1">IF(AND(ISNUMBER($L$327),$B$185=1),$L$327,HLOOKUP(INDIRECT(ADDRESS(2,COLUMN())),OFFSET($BN$2,0,0,ROW()-1,60),ROW()-1,FALSE))</f>
        <v/>
      </c>
      <c r="M131" t="str">
        <f ca="1">IF(AND(ISNUMBER($M$327),$B$185=1),$M$327,HLOOKUP(INDIRECT(ADDRESS(2,COLUMN())),OFFSET($BN$2,0,0,ROW()-1,60),ROW()-1,FALSE))</f>
        <v/>
      </c>
      <c r="N131" t="str">
        <f ca="1">IF(AND(ISNUMBER($N$327),$B$185=1),$N$327,HLOOKUP(INDIRECT(ADDRESS(2,COLUMN())),OFFSET($BN$2,0,0,ROW()-1,60),ROW()-1,FALSE))</f>
        <v/>
      </c>
      <c r="O131" t="str">
        <f ca="1">IF(AND(ISNUMBER($O$327),$B$185=1),$O$327,HLOOKUP(INDIRECT(ADDRESS(2,COLUMN())),OFFSET($BN$2,0,0,ROW()-1,60),ROW()-1,FALSE))</f>
        <v/>
      </c>
      <c r="P131" t="str">
        <f ca="1">IF(AND(ISNUMBER($P$327),$B$185=1),$P$327,HLOOKUP(INDIRECT(ADDRESS(2,COLUMN())),OFFSET($BN$2,0,0,ROW()-1,60),ROW()-1,FALSE))</f>
        <v/>
      </c>
      <c r="Q131" t="str">
        <f ca="1">IF(AND(ISNUMBER($Q$327),$B$185=1),$Q$327,HLOOKUP(INDIRECT(ADDRESS(2,COLUMN())),OFFSET($BN$2,0,0,ROW()-1,60),ROW()-1,FALSE))</f>
        <v/>
      </c>
      <c r="R131" t="str">
        <f ca="1">IF(AND(ISNUMBER($R$327),$B$185=1),$R$327,HLOOKUP(INDIRECT(ADDRESS(2,COLUMN())),OFFSET($BN$2,0,0,ROW()-1,60),ROW()-1,FALSE))</f>
        <v/>
      </c>
      <c r="S131" t="str">
        <f ca="1">IF(AND(ISNUMBER($S$327),$B$185=1),$S$327,HLOOKUP(INDIRECT(ADDRESS(2,COLUMN())),OFFSET($BN$2,0,0,ROW()-1,60),ROW()-1,FALSE))</f>
        <v/>
      </c>
      <c r="T131" t="str">
        <f ca="1">IF(AND(ISNUMBER($T$327),$B$185=1),$T$327,HLOOKUP(INDIRECT(ADDRESS(2,COLUMN())),OFFSET($BN$2,0,0,ROW()-1,60),ROW()-1,FALSE))</f>
        <v/>
      </c>
      <c r="U131" t="str">
        <f ca="1">IF(AND(ISNUMBER($U$327),$B$185=1),$U$327,HLOOKUP(INDIRECT(ADDRESS(2,COLUMN())),OFFSET($BN$2,0,0,ROW()-1,60),ROW()-1,FALSE))</f>
        <v/>
      </c>
      <c r="V131" t="str">
        <f ca="1">IF(AND(ISNUMBER($V$327),$B$185=1),$V$327,HLOOKUP(INDIRECT(ADDRESS(2,COLUMN())),OFFSET($BN$2,0,0,ROW()-1,60),ROW()-1,FALSE))</f>
        <v/>
      </c>
      <c r="W131" t="str">
        <f ca="1">IF(AND(ISNUMBER($W$327),$B$185=1),$W$327,HLOOKUP(INDIRECT(ADDRESS(2,COLUMN())),OFFSET($BN$2,0,0,ROW()-1,60),ROW()-1,FALSE))</f>
        <v/>
      </c>
      <c r="X131" t="str">
        <f ca="1">IF(AND(ISNUMBER($X$327),$B$185=1),$X$327,HLOOKUP(INDIRECT(ADDRESS(2,COLUMN())),OFFSET($BN$2,0,0,ROW()-1,60),ROW()-1,FALSE))</f>
        <v/>
      </c>
      <c r="Y131" t="str">
        <f ca="1">IF(AND(ISNUMBER($Y$327),$B$185=1),$Y$327,HLOOKUP(INDIRECT(ADDRESS(2,COLUMN())),OFFSET($BN$2,0,0,ROW()-1,60),ROW()-1,FALSE))</f>
        <v/>
      </c>
      <c r="Z131" t="str">
        <f ca="1">IF(AND(ISNUMBER($Z$327),$B$185=1),$Z$327,HLOOKUP(INDIRECT(ADDRESS(2,COLUMN())),OFFSET($BN$2,0,0,ROW()-1,60),ROW()-1,FALSE))</f>
        <v/>
      </c>
      <c r="AA131" t="str">
        <f ca="1">IF(AND(ISNUMBER($AA$327),$B$185=1),$AA$327,HLOOKUP(INDIRECT(ADDRESS(2,COLUMN())),OFFSET($BN$2,0,0,ROW()-1,60),ROW()-1,FALSE))</f>
        <v/>
      </c>
      <c r="AB131" t="str">
        <f ca="1">IF(AND(ISNUMBER($AB$327),$B$185=1),$AB$327,HLOOKUP(INDIRECT(ADDRESS(2,COLUMN())),OFFSET($BN$2,0,0,ROW()-1,60),ROW()-1,FALSE))</f>
        <v/>
      </c>
      <c r="AC131" t="str">
        <f ca="1">IF(AND(ISNUMBER($AC$327),$B$185=1),$AC$327,HLOOKUP(INDIRECT(ADDRESS(2,COLUMN())),OFFSET($BN$2,0,0,ROW()-1,60),ROW()-1,FALSE))</f>
        <v/>
      </c>
      <c r="AD131" t="str">
        <f ca="1">IF(AND(ISNUMBER($AD$327),$B$185=1),$AD$327,HLOOKUP(INDIRECT(ADDRESS(2,COLUMN())),OFFSET($BN$2,0,0,ROW()-1,60),ROW()-1,FALSE))</f>
        <v/>
      </c>
      <c r="AE131" t="str">
        <f ca="1">IF(AND(ISNUMBER($AE$327),$B$185=1),$AE$327,HLOOKUP(INDIRECT(ADDRESS(2,COLUMN())),OFFSET($BN$2,0,0,ROW()-1,60),ROW()-1,FALSE))</f>
        <v/>
      </c>
      <c r="AF131" t="str">
        <f ca="1">IF(AND(ISNUMBER($AF$327),$B$185=1),$AF$327,HLOOKUP(INDIRECT(ADDRESS(2,COLUMN())),OFFSET($BN$2,0,0,ROW()-1,60),ROW()-1,FALSE))</f>
        <v/>
      </c>
      <c r="AG131" t="str">
        <f ca="1">IF(AND(ISNUMBER($AG$327),$B$185=1),$AG$327,HLOOKUP(INDIRECT(ADDRESS(2,COLUMN())),OFFSET($BN$2,0,0,ROW()-1,60),ROW()-1,FALSE))</f>
        <v/>
      </c>
      <c r="AH131" t="str">
        <f ca="1">IF(AND(ISNUMBER($AH$327),$B$185=1),$AH$327,HLOOKUP(INDIRECT(ADDRESS(2,COLUMN())),OFFSET($BN$2,0,0,ROW()-1,60),ROW()-1,FALSE))</f>
        <v/>
      </c>
      <c r="AI131" t="str">
        <f ca="1">IF(AND(ISNUMBER($AI$327),$B$185=1),$AI$327,HLOOKUP(INDIRECT(ADDRESS(2,COLUMN())),OFFSET($BN$2,0,0,ROW()-1,60),ROW()-1,FALSE))</f>
        <v/>
      </c>
      <c r="AJ131" t="str">
        <f ca="1">IF(AND(ISNUMBER($AJ$327),$B$185=1),$AJ$327,HLOOKUP(INDIRECT(ADDRESS(2,COLUMN())),OFFSET($BN$2,0,0,ROW()-1,60),ROW()-1,FALSE))</f>
        <v/>
      </c>
      <c r="AK131" t="str">
        <f ca="1">IF(AND(ISNUMBER($AK$327),$B$185=1),$AK$327,HLOOKUP(INDIRECT(ADDRESS(2,COLUMN())),OFFSET($BN$2,0,0,ROW()-1,60),ROW()-1,FALSE))</f>
        <v/>
      </c>
      <c r="AL131" t="str">
        <f ca="1">IF(AND(ISNUMBER($AL$327),$B$185=1),$AL$327,HLOOKUP(INDIRECT(ADDRESS(2,COLUMN())),OFFSET($BN$2,0,0,ROW()-1,60),ROW()-1,FALSE))</f>
        <v/>
      </c>
      <c r="AM131" t="str">
        <f ca="1">IF(AND(ISNUMBER($AM$327),$B$185=1),$AM$327,HLOOKUP(INDIRECT(ADDRESS(2,COLUMN())),OFFSET($BN$2,0,0,ROW()-1,60),ROW()-1,FALSE))</f>
        <v/>
      </c>
      <c r="AN131" t="str">
        <f ca="1">IF(AND(ISNUMBER($AN$327),$B$185=1),$AN$327,HLOOKUP(INDIRECT(ADDRESS(2,COLUMN())),OFFSET($BN$2,0,0,ROW()-1,60),ROW()-1,FALSE))</f>
        <v/>
      </c>
      <c r="AO131" t="str">
        <f ca="1">IF(AND(ISNUMBER($AO$327),$B$185=1),$AO$327,HLOOKUP(INDIRECT(ADDRESS(2,COLUMN())),OFFSET($BN$2,0,0,ROW()-1,60),ROW()-1,FALSE))</f>
        <v/>
      </c>
      <c r="AP131" t="str">
        <f ca="1">IF(AND(ISNUMBER($AP$327),$B$185=1),$AP$327,HLOOKUP(INDIRECT(ADDRESS(2,COLUMN())),OFFSET($BN$2,0,0,ROW()-1,60),ROW()-1,FALSE))</f>
        <v/>
      </c>
      <c r="AQ131" t="str">
        <f ca="1">IF(AND(ISNUMBER($AQ$327),$B$185=1),$AQ$327,HLOOKUP(INDIRECT(ADDRESS(2,COLUMN())),OFFSET($BN$2,0,0,ROW()-1,60),ROW()-1,FALSE))</f>
        <v/>
      </c>
      <c r="AR131" t="str">
        <f ca="1">IF(AND(ISNUMBER($AR$327),$B$185=1),$AR$327,HLOOKUP(INDIRECT(ADDRESS(2,COLUMN())),OFFSET($BN$2,0,0,ROW()-1,60),ROW()-1,FALSE))</f>
        <v/>
      </c>
      <c r="AS131" t="str">
        <f ca="1">IF(AND(ISNUMBER($AS$327),$B$185=1),$AS$327,HLOOKUP(INDIRECT(ADDRESS(2,COLUMN())),OFFSET($BN$2,0,0,ROW()-1,60),ROW()-1,FALSE))</f>
        <v/>
      </c>
      <c r="AT131" t="str">
        <f ca="1">IF(AND(ISNUMBER($AT$327),$B$185=1),$AT$327,HLOOKUP(INDIRECT(ADDRESS(2,COLUMN())),OFFSET($BN$2,0,0,ROW()-1,60),ROW()-1,FALSE))</f>
        <v/>
      </c>
      <c r="AU131" t="str">
        <f ca="1">IF(AND(ISNUMBER($AU$327),$B$185=1),$AU$327,HLOOKUP(INDIRECT(ADDRESS(2,COLUMN())),OFFSET($BN$2,0,0,ROW()-1,60),ROW()-1,FALSE))</f>
        <v/>
      </c>
      <c r="AV131" t="str">
        <f ca="1">IF(AND(ISNUMBER($AV$327),$B$185=1),$AV$327,HLOOKUP(INDIRECT(ADDRESS(2,COLUMN())),OFFSET($BN$2,0,0,ROW()-1,60),ROW()-1,FALSE))</f>
        <v/>
      </c>
      <c r="AW131" t="str">
        <f ca="1">IF(AND(ISNUMBER($AW$327),$B$185=1),$AW$327,HLOOKUP(INDIRECT(ADDRESS(2,COLUMN())),OFFSET($BN$2,0,0,ROW()-1,60),ROW()-1,FALSE))</f>
        <v/>
      </c>
      <c r="AX131" t="str">
        <f ca="1">IF(AND(ISNUMBER($AX$327),$B$185=1),$AX$327,HLOOKUP(INDIRECT(ADDRESS(2,COLUMN())),OFFSET($BN$2,0,0,ROW()-1,60),ROW()-1,FALSE))</f>
        <v/>
      </c>
      <c r="AY131" t="str">
        <f ca="1">IF(AND(ISNUMBER($AY$327),$B$185=1),$AY$327,HLOOKUP(INDIRECT(ADDRESS(2,COLUMN())),OFFSET($BN$2,0,0,ROW()-1,60),ROW()-1,FALSE))</f>
        <v/>
      </c>
      <c r="AZ131" t="str">
        <f ca="1">IF(AND(ISNUMBER($AZ$327),$B$185=1),$AZ$327,HLOOKUP(INDIRECT(ADDRESS(2,COLUMN())),OFFSET($BN$2,0,0,ROW()-1,60),ROW()-1,FALSE))</f>
        <v/>
      </c>
      <c r="BA131" t="str">
        <f ca="1">IF(AND(ISNUMBER($BA$327),$B$185=1),$BA$327,HLOOKUP(INDIRECT(ADDRESS(2,COLUMN())),OFFSET($BN$2,0,0,ROW()-1,60),ROW()-1,FALSE))</f>
        <v/>
      </c>
      <c r="BB131" t="str">
        <f ca="1">IF(AND(ISNUMBER($BB$327),$B$185=1),$BB$327,HLOOKUP(INDIRECT(ADDRESS(2,COLUMN())),OFFSET($BN$2,0,0,ROW()-1,60),ROW()-1,FALSE))</f>
        <v/>
      </c>
      <c r="BC131" t="str">
        <f ca="1">IF(AND(ISNUMBER($BC$327),$B$185=1),$BC$327,HLOOKUP(INDIRECT(ADDRESS(2,COLUMN())),OFFSET($BN$2,0,0,ROW()-1,60),ROW()-1,FALSE))</f>
        <v/>
      </c>
      <c r="BD131" t="str">
        <f ca="1">IF(AND(ISNUMBER($BD$327),$B$185=1),$BD$327,HLOOKUP(INDIRECT(ADDRESS(2,COLUMN())),OFFSET($BN$2,0,0,ROW()-1,60),ROW()-1,FALSE))</f>
        <v/>
      </c>
      <c r="BE131" t="str">
        <f ca="1">IF(AND(ISNUMBER($BE$327),$B$185=1),$BE$327,HLOOKUP(INDIRECT(ADDRESS(2,COLUMN())),OFFSET($BN$2,0,0,ROW()-1,60),ROW()-1,FALSE))</f>
        <v/>
      </c>
      <c r="BF131" t="str">
        <f ca="1">IF(AND(ISNUMBER($BF$327),$B$185=1),$BF$327,HLOOKUP(INDIRECT(ADDRESS(2,COLUMN())),OFFSET($BN$2,0,0,ROW()-1,60),ROW()-1,FALSE))</f>
        <v/>
      </c>
      <c r="BG131" t="str">
        <f ca="1">IF(AND(ISNUMBER($BG$327),$B$185=1),$BG$327,HLOOKUP(INDIRECT(ADDRESS(2,COLUMN())),OFFSET($BN$2,0,0,ROW()-1,60),ROW()-1,FALSE))</f>
        <v/>
      </c>
      <c r="BH131" t="str">
        <f ca="1">IF(AND(ISNUMBER($BH$327),$B$185=1),$BH$327,HLOOKUP(INDIRECT(ADDRESS(2,COLUMN())),OFFSET($BN$2,0,0,ROW()-1,60),ROW()-1,FALSE))</f>
        <v/>
      </c>
      <c r="BI131" t="str">
        <f ca="1">IF(AND(ISNUMBER($BI$327),$B$185=1),$BI$327,HLOOKUP(INDIRECT(ADDRESS(2,COLUMN())),OFFSET($BN$2,0,0,ROW()-1,60),ROW()-1,FALSE))</f>
        <v/>
      </c>
      <c r="BJ131" t="str">
        <f ca="1">IF(AND(ISNUMBER($BJ$327),$B$185=1),$BJ$327,HLOOKUP(INDIRECT(ADDRESS(2,COLUMN())),OFFSET($BN$2,0,0,ROW()-1,60),ROW()-1,FALSE))</f>
        <v/>
      </c>
      <c r="BK131" t="str">
        <f ca="1">IF(AND(ISNUMBER($BK$327),$B$185=1),$BK$327,HLOOKUP(INDIRECT(ADDRESS(2,COLUMN())),OFFSET($BN$2,0,0,ROW()-1,60),ROW()-1,FALSE))</f>
        <v/>
      </c>
      <c r="BL131" t="str">
        <f ca="1">IF(AND(ISNUMBER($BL$327),$B$185=1),$BL$327,HLOOKUP(INDIRECT(ADDRESS(2,COLUMN())),OFFSET($BN$2,0,0,ROW()-1,60),ROW()-1,FALSE))</f>
        <v/>
      </c>
      <c r="BM131" t="str">
        <f ca="1">IF(AND(ISNUMBER($BM$327),$B$185=1),$BM$327,HLOOKUP(INDIRECT(ADDRESS(2,COLUMN())),OFFSET($BN$2,0,0,ROW()-1,60),ROW()-1,FALSE))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>
      <c r="A132" t="str">
        <f>"    First Republic Bank/CA"</f>
        <v xml:space="preserve">    First Republic Bank/CA</v>
      </c>
      <c r="B132" t="str">
        <f>"FRCB US Equity"</f>
        <v>FRCB US Equity</v>
      </c>
      <c r="C132" t="str">
        <f t="shared" si="16"/>
        <v>BS965</v>
      </c>
      <c r="D132" t="str">
        <f t="shared" si="17"/>
        <v>BS_COMML_MTG_SERVICING_PORTFOLIO</v>
      </c>
      <c r="E132" t="str">
        <f t="shared" si="18"/>
        <v>Dynamic</v>
      </c>
      <c r="F132" t="str">
        <f ca="1">IF(AND(ISNUMBER($F$328),$B$185=1),$F$328,HLOOKUP(INDIRECT(ADDRESS(2,COLUMN())),OFFSET($BN$2,0,0,ROW()-1,60),ROW()-1,FALSE))</f>
        <v/>
      </c>
      <c r="G132" t="str">
        <f ca="1">IF(AND(ISNUMBER($G$328),$B$185=1),$G$328,HLOOKUP(INDIRECT(ADDRESS(2,COLUMN())),OFFSET($BN$2,0,0,ROW()-1,60),ROW()-1,FALSE))</f>
        <v/>
      </c>
      <c r="H132" t="str">
        <f ca="1">IF(AND(ISNUMBER($H$328),$B$185=1),$H$328,HLOOKUP(INDIRECT(ADDRESS(2,COLUMN())),OFFSET($BN$2,0,0,ROW()-1,60),ROW()-1,FALSE))</f>
        <v/>
      </c>
      <c r="I132" t="str">
        <f ca="1">IF(AND(ISNUMBER($I$328),$B$185=1),$I$328,HLOOKUP(INDIRECT(ADDRESS(2,COLUMN())),OFFSET($BN$2,0,0,ROW()-1,60),ROW()-1,FALSE))</f>
        <v/>
      </c>
      <c r="J132" t="str">
        <f ca="1">IF(AND(ISNUMBER($J$328),$B$185=1),$J$328,HLOOKUP(INDIRECT(ADDRESS(2,COLUMN())),OFFSET($BN$2,0,0,ROW()-1,60),ROW()-1,FALSE))</f>
        <v/>
      </c>
      <c r="K132" t="str">
        <f ca="1">IF(AND(ISNUMBER($K$328),$B$185=1),$K$328,HLOOKUP(INDIRECT(ADDRESS(2,COLUMN())),OFFSET($BN$2,0,0,ROW()-1,60),ROW()-1,FALSE))</f>
        <v/>
      </c>
      <c r="L132" t="str">
        <f ca="1">IF(AND(ISNUMBER($L$328),$B$185=1),$L$328,HLOOKUP(INDIRECT(ADDRESS(2,COLUMN())),OFFSET($BN$2,0,0,ROW()-1,60),ROW()-1,FALSE))</f>
        <v/>
      </c>
      <c r="M132" t="str">
        <f ca="1">IF(AND(ISNUMBER($M$328),$B$185=1),$M$328,HLOOKUP(INDIRECT(ADDRESS(2,COLUMN())),OFFSET($BN$2,0,0,ROW()-1,60),ROW()-1,FALSE))</f>
        <v/>
      </c>
      <c r="N132" t="str">
        <f ca="1">IF(AND(ISNUMBER($N$328),$B$185=1),$N$328,HLOOKUP(INDIRECT(ADDRESS(2,COLUMN())),OFFSET($BN$2,0,0,ROW()-1,60),ROW()-1,FALSE))</f>
        <v/>
      </c>
      <c r="O132" t="str">
        <f ca="1">IF(AND(ISNUMBER($O$328),$B$185=1),$O$328,HLOOKUP(INDIRECT(ADDRESS(2,COLUMN())),OFFSET($BN$2,0,0,ROW()-1,60),ROW()-1,FALSE))</f>
        <v/>
      </c>
      <c r="P132" t="str">
        <f ca="1">IF(AND(ISNUMBER($P$328),$B$185=1),$P$328,HLOOKUP(INDIRECT(ADDRESS(2,COLUMN())),OFFSET($BN$2,0,0,ROW()-1,60),ROW()-1,FALSE))</f>
        <v/>
      </c>
      <c r="Q132" t="str">
        <f ca="1">IF(AND(ISNUMBER($Q$328),$B$185=1),$Q$328,HLOOKUP(INDIRECT(ADDRESS(2,COLUMN())),OFFSET($BN$2,0,0,ROW()-1,60),ROW()-1,FALSE))</f>
        <v/>
      </c>
      <c r="R132" t="str">
        <f ca="1">IF(AND(ISNUMBER($R$328),$B$185=1),$R$328,HLOOKUP(INDIRECT(ADDRESS(2,COLUMN())),OFFSET($BN$2,0,0,ROW()-1,60),ROW()-1,FALSE))</f>
        <v/>
      </c>
      <c r="S132" t="str">
        <f ca="1">IF(AND(ISNUMBER($S$328),$B$185=1),$S$328,HLOOKUP(INDIRECT(ADDRESS(2,COLUMN())),OFFSET($BN$2,0,0,ROW()-1,60),ROW()-1,FALSE))</f>
        <v/>
      </c>
      <c r="T132" t="str">
        <f ca="1">IF(AND(ISNUMBER($T$328),$B$185=1),$T$328,HLOOKUP(INDIRECT(ADDRESS(2,COLUMN())),OFFSET($BN$2,0,0,ROW()-1,60),ROW()-1,FALSE))</f>
        <v/>
      </c>
      <c r="U132" t="str">
        <f ca="1">IF(AND(ISNUMBER($U$328),$B$185=1),$U$328,HLOOKUP(INDIRECT(ADDRESS(2,COLUMN())),OFFSET($BN$2,0,0,ROW()-1,60),ROW()-1,FALSE))</f>
        <v/>
      </c>
      <c r="V132" t="str">
        <f ca="1">IF(AND(ISNUMBER($V$328),$B$185=1),$V$328,HLOOKUP(INDIRECT(ADDRESS(2,COLUMN())),OFFSET($BN$2,0,0,ROW()-1,60),ROW()-1,FALSE))</f>
        <v/>
      </c>
      <c r="W132" t="str">
        <f ca="1">IF(AND(ISNUMBER($W$328),$B$185=1),$W$328,HLOOKUP(INDIRECT(ADDRESS(2,COLUMN())),OFFSET($BN$2,0,0,ROW()-1,60),ROW()-1,FALSE))</f>
        <v/>
      </c>
      <c r="X132" t="str">
        <f ca="1">IF(AND(ISNUMBER($X$328),$B$185=1),$X$328,HLOOKUP(INDIRECT(ADDRESS(2,COLUMN())),OFFSET($BN$2,0,0,ROW()-1,60),ROW()-1,FALSE))</f>
        <v/>
      </c>
      <c r="Y132" t="str">
        <f ca="1">IF(AND(ISNUMBER($Y$328),$B$185=1),$Y$328,HLOOKUP(INDIRECT(ADDRESS(2,COLUMN())),OFFSET($BN$2,0,0,ROW()-1,60),ROW()-1,FALSE))</f>
        <v/>
      </c>
      <c r="Z132" t="str">
        <f ca="1">IF(AND(ISNUMBER($Z$328),$B$185=1),$Z$328,HLOOKUP(INDIRECT(ADDRESS(2,COLUMN())),OFFSET($BN$2,0,0,ROW()-1,60),ROW()-1,FALSE))</f>
        <v/>
      </c>
      <c r="AA132" t="str">
        <f ca="1">IF(AND(ISNUMBER($AA$328),$B$185=1),$AA$328,HLOOKUP(INDIRECT(ADDRESS(2,COLUMN())),OFFSET($BN$2,0,0,ROW()-1,60),ROW()-1,FALSE))</f>
        <v/>
      </c>
      <c r="AB132" t="str">
        <f ca="1">IF(AND(ISNUMBER($AB$328),$B$185=1),$AB$328,HLOOKUP(INDIRECT(ADDRESS(2,COLUMN())),OFFSET($BN$2,0,0,ROW()-1,60),ROW()-1,FALSE))</f>
        <v/>
      </c>
      <c r="AC132" t="str">
        <f ca="1">IF(AND(ISNUMBER($AC$328),$B$185=1),$AC$328,HLOOKUP(INDIRECT(ADDRESS(2,COLUMN())),OFFSET($BN$2,0,0,ROW()-1,60),ROW()-1,FALSE))</f>
        <v/>
      </c>
      <c r="AD132" t="str">
        <f ca="1">IF(AND(ISNUMBER($AD$328),$B$185=1),$AD$328,HLOOKUP(INDIRECT(ADDRESS(2,COLUMN())),OFFSET($BN$2,0,0,ROW()-1,60),ROW()-1,FALSE))</f>
        <v/>
      </c>
      <c r="AE132" t="str">
        <f ca="1">IF(AND(ISNUMBER($AE$328),$B$185=1),$AE$328,HLOOKUP(INDIRECT(ADDRESS(2,COLUMN())),OFFSET($BN$2,0,0,ROW()-1,60),ROW()-1,FALSE))</f>
        <v/>
      </c>
      <c r="AF132" t="str">
        <f ca="1">IF(AND(ISNUMBER($AF$328),$B$185=1),$AF$328,HLOOKUP(INDIRECT(ADDRESS(2,COLUMN())),OFFSET($BN$2,0,0,ROW()-1,60),ROW()-1,FALSE))</f>
        <v/>
      </c>
      <c r="AG132" t="str">
        <f ca="1">IF(AND(ISNUMBER($AG$328),$B$185=1),$AG$328,HLOOKUP(INDIRECT(ADDRESS(2,COLUMN())),OFFSET($BN$2,0,0,ROW()-1,60),ROW()-1,FALSE))</f>
        <v/>
      </c>
      <c r="AH132" t="str">
        <f ca="1">IF(AND(ISNUMBER($AH$328),$B$185=1),$AH$328,HLOOKUP(INDIRECT(ADDRESS(2,COLUMN())),OFFSET($BN$2,0,0,ROW()-1,60),ROW()-1,FALSE))</f>
        <v/>
      </c>
      <c r="AI132" t="str">
        <f ca="1">IF(AND(ISNUMBER($AI$328),$B$185=1),$AI$328,HLOOKUP(INDIRECT(ADDRESS(2,COLUMN())),OFFSET($BN$2,0,0,ROW()-1,60),ROW()-1,FALSE))</f>
        <v/>
      </c>
      <c r="AJ132" t="str">
        <f ca="1">IF(AND(ISNUMBER($AJ$328),$B$185=1),$AJ$328,HLOOKUP(INDIRECT(ADDRESS(2,COLUMN())),OFFSET($BN$2,0,0,ROW()-1,60),ROW()-1,FALSE))</f>
        <v/>
      </c>
      <c r="AK132" t="str">
        <f ca="1">IF(AND(ISNUMBER($AK$328),$B$185=1),$AK$328,HLOOKUP(INDIRECT(ADDRESS(2,COLUMN())),OFFSET($BN$2,0,0,ROW()-1,60),ROW()-1,FALSE))</f>
        <v/>
      </c>
      <c r="AL132" t="str">
        <f ca="1">IF(AND(ISNUMBER($AL$328),$B$185=1),$AL$328,HLOOKUP(INDIRECT(ADDRESS(2,COLUMN())),OFFSET($BN$2,0,0,ROW()-1,60),ROW()-1,FALSE))</f>
        <v/>
      </c>
      <c r="AM132" t="str">
        <f ca="1">IF(AND(ISNUMBER($AM$328),$B$185=1),$AM$328,HLOOKUP(INDIRECT(ADDRESS(2,COLUMN())),OFFSET($BN$2,0,0,ROW()-1,60),ROW()-1,FALSE))</f>
        <v/>
      </c>
      <c r="AN132" t="str">
        <f ca="1">IF(AND(ISNUMBER($AN$328),$B$185=1),$AN$328,HLOOKUP(INDIRECT(ADDRESS(2,COLUMN())),OFFSET($BN$2,0,0,ROW()-1,60),ROW()-1,FALSE))</f>
        <v/>
      </c>
      <c r="AO132" t="str">
        <f ca="1">IF(AND(ISNUMBER($AO$328),$B$185=1),$AO$328,HLOOKUP(INDIRECT(ADDRESS(2,COLUMN())),OFFSET($BN$2,0,0,ROW()-1,60),ROW()-1,FALSE))</f>
        <v/>
      </c>
      <c r="AP132" t="str">
        <f ca="1">IF(AND(ISNUMBER($AP$328),$B$185=1),$AP$328,HLOOKUP(INDIRECT(ADDRESS(2,COLUMN())),OFFSET($BN$2,0,0,ROW()-1,60),ROW()-1,FALSE))</f>
        <v/>
      </c>
      <c r="AQ132" t="str">
        <f ca="1">IF(AND(ISNUMBER($AQ$328),$B$185=1),$AQ$328,HLOOKUP(INDIRECT(ADDRESS(2,COLUMN())),OFFSET($BN$2,0,0,ROW()-1,60),ROW()-1,FALSE))</f>
        <v/>
      </c>
      <c r="AR132" t="str">
        <f ca="1">IF(AND(ISNUMBER($AR$328),$B$185=1),$AR$328,HLOOKUP(INDIRECT(ADDRESS(2,COLUMN())),OFFSET($BN$2,0,0,ROW()-1,60),ROW()-1,FALSE))</f>
        <v/>
      </c>
      <c r="AS132" t="str">
        <f ca="1">IF(AND(ISNUMBER($AS$328),$B$185=1),$AS$328,HLOOKUP(INDIRECT(ADDRESS(2,COLUMN())),OFFSET($BN$2,0,0,ROW()-1,60),ROW()-1,FALSE))</f>
        <v/>
      </c>
      <c r="AT132" t="str">
        <f ca="1">IF(AND(ISNUMBER($AT$328),$B$185=1),$AT$328,HLOOKUP(INDIRECT(ADDRESS(2,COLUMN())),OFFSET($BN$2,0,0,ROW()-1,60),ROW()-1,FALSE))</f>
        <v/>
      </c>
      <c r="AU132" t="str">
        <f ca="1">IF(AND(ISNUMBER($AU$328),$B$185=1),$AU$328,HLOOKUP(INDIRECT(ADDRESS(2,COLUMN())),OFFSET($BN$2,0,0,ROW()-1,60),ROW()-1,FALSE))</f>
        <v/>
      </c>
      <c r="AV132" t="str">
        <f ca="1">IF(AND(ISNUMBER($AV$328),$B$185=1),$AV$328,HLOOKUP(INDIRECT(ADDRESS(2,COLUMN())),OFFSET($BN$2,0,0,ROW()-1,60),ROW()-1,FALSE))</f>
        <v/>
      </c>
      <c r="AW132" t="str">
        <f ca="1">IF(AND(ISNUMBER($AW$328),$B$185=1),$AW$328,HLOOKUP(INDIRECT(ADDRESS(2,COLUMN())),OFFSET($BN$2,0,0,ROW()-1,60),ROW()-1,FALSE))</f>
        <v/>
      </c>
      <c r="AX132" t="str">
        <f ca="1">IF(AND(ISNUMBER($AX$328),$B$185=1),$AX$328,HLOOKUP(INDIRECT(ADDRESS(2,COLUMN())),OFFSET($BN$2,0,0,ROW()-1,60),ROW()-1,FALSE))</f>
        <v/>
      </c>
      <c r="AY132" t="str">
        <f ca="1">IF(AND(ISNUMBER($AY$328),$B$185=1),$AY$328,HLOOKUP(INDIRECT(ADDRESS(2,COLUMN())),OFFSET($BN$2,0,0,ROW()-1,60),ROW()-1,FALSE))</f>
        <v/>
      </c>
      <c r="AZ132" t="str">
        <f ca="1">IF(AND(ISNUMBER($AZ$328),$B$185=1),$AZ$328,HLOOKUP(INDIRECT(ADDRESS(2,COLUMN())),OFFSET($BN$2,0,0,ROW()-1,60),ROW()-1,FALSE))</f>
        <v/>
      </c>
      <c r="BA132" t="str">
        <f ca="1">IF(AND(ISNUMBER($BA$328),$B$185=1),$BA$328,HLOOKUP(INDIRECT(ADDRESS(2,COLUMN())),OFFSET($BN$2,0,0,ROW()-1,60),ROW()-1,FALSE))</f>
        <v/>
      </c>
      <c r="BB132" t="str">
        <f ca="1">IF(AND(ISNUMBER($BB$328),$B$185=1),$BB$328,HLOOKUP(INDIRECT(ADDRESS(2,COLUMN())),OFFSET($BN$2,0,0,ROW()-1,60),ROW()-1,FALSE))</f>
        <v/>
      </c>
      <c r="BC132" t="str">
        <f ca="1">IF(AND(ISNUMBER($BC$328),$B$185=1),$BC$328,HLOOKUP(INDIRECT(ADDRESS(2,COLUMN())),OFFSET($BN$2,0,0,ROW()-1,60),ROW()-1,FALSE))</f>
        <v/>
      </c>
      <c r="BD132" t="str">
        <f ca="1">IF(AND(ISNUMBER($BD$328),$B$185=1),$BD$328,HLOOKUP(INDIRECT(ADDRESS(2,COLUMN())),OFFSET($BN$2,0,0,ROW()-1,60),ROW()-1,FALSE))</f>
        <v/>
      </c>
      <c r="BE132" t="str">
        <f ca="1">IF(AND(ISNUMBER($BE$328),$B$185=1),$BE$328,HLOOKUP(INDIRECT(ADDRESS(2,COLUMN())),OFFSET($BN$2,0,0,ROW()-1,60),ROW()-1,FALSE))</f>
        <v/>
      </c>
      <c r="BF132" t="str">
        <f ca="1">IF(AND(ISNUMBER($BF$328),$B$185=1),$BF$328,HLOOKUP(INDIRECT(ADDRESS(2,COLUMN())),OFFSET($BN$2,0,0,ROW()-1,60),ROW()-1,FALSE))</f>
        <v/>
      </c>
      <c r="BG132" t="str">
        <f ca="1">IF(AND(ISNUMBER($BG$328),$B$185=1),$BG$328,HLOOKUP(INDIRECT(ADDRESS(2,COLUMN())),OFFSET($BN$2,0,0,ROW()-1,60),ROW()-1,FALSE))</f>
        <v/>
      </c>
      <c r="BH132" t="str">
        <f ca="1">IF(AND(ISNUMBER($BH$328),$B$185=1),$BH$328,HLOOKUP(INDIRECT(ADDRESS(2,COLUMN())),OFFSET($BN$2,0,0,ROW()-1,60),ROW()-1,FALSE))</f>
        <v/>
      </c>
      <c r="BI132" t="str">
        <f ca="1">IF(AND(ISNUMBER($BI$328),$B$185=1),$BI$328,HLOOKUP(INDIRECT(ADDRESS(2,COLUMN())),OFFSET($BN$2,0,0,ROW()-1,60),ROW()-1,FALSE))</f>
        <v/>
      </c>
      <c r="BJ132" t="str">
        <f ca="1">IF(AND(ISNUMBER($BJ$328),$B$185=1),$BJ$328,HLOOKUP(INDIRECT(ADDRESS(2,COLUMN())),OFFSET($BN$2,0,0,ROW()-1,60),ROW()-1,FALSE))</f>
        <v/>
      </c>
      <c r="BK132" t="str">
        <f ca="1">IF(AND(ISNUMBER($BK$328),$B$185=1),$BK$328,HLOOKUP(INDIRECT(ADDRESS(2,COLUMN())),OFFSET($BN$2,0,0,ROW()-1,60),ROW()-1,FALSE))</f>
        <v/>
      </c>
      <c r="BL132" t="str">
        <f ca="1">IF(AND(ISNUMBER($BL$328),$B$185=1),$BL$328,HLOOKUP(INDIRECT(ADDRESS(2,COLUMN())),OFFSET($BN$2,0,0,ROW()-1,60),ROW()-1,FALSE))</f>
        <v/>
      </c>
      <c r="BM132" t="str">
        <f ca="1">IF(AND(ISNUMBER($BM$328),$B$185=1),$BM$328,HLOOKUP(INDIRECT(ADDRESS(2,COLUMN())),OFFSET($BN$2,0,0,ROW()-1,60),ROW()-1,FALSE))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  <c r="BT132" t="str">
        <f>""</f>
        <v/>
      </c>
      <c r="BU132" t="str">
        <f>""</f>
        <v/>
      </c>
      <c r="BV132" t="str">
        <f>""</f>
        <v/>
      </c>
      <c r="BW132" t="str">
        <f>""</f>
        <v/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  <c r="CI132" t="str">
        <f>""</f>
        <v/>
      </c>
      <c r="CJ132" t="str">
        <f>""</f>
        <v/>
      </c>
      <c r="CK132" t="str">
        <f>""</f>
        <v/>
      </c>
      <c r="CL132" t="str">
        <f>""</f>
        <v/>
      </c>
      <c r="CM132" t="str">
        <f>""</f>
        <v/>
      </c>
      <c r="CN132" t="str">
        <f>""</f>
        <v/>
      </c>
      <c r="CO132" t="str">
        <f>""</f>
        <v/>
      </c>
      <c r="CP132" t="str">
        <f>""</f>
        <v/>
      </c>
      <c r="CQ132" t="str">
        <f>""</f>
        <v/>
      </c>
      <c r="CR132" t="str">
        <f>""</f>
        <v/>
      </c>
      <c r="CS132" t="str">
        <f>""</f>
        <v/>
      </c>
      <c r="CT132" t="str">
        <f>""</f>
        <v/>
      </c>
      <c r="CU132" t="str">
        <f>""</f>
        <v/>
      </c>
      <c r="CV132" t="str">
        <f>""</f>
        <v/>
      </c>
      <c r="CW132" t="str">
        <f>""</f>
        <v/>
      </c>
      <c r="CX132" t="str">
        <f>""</f>
        <v/>
      </c>
      <c r="CY132" t="str">
        <f>""</f>
        <v/>
      </c>
      <c r="CZ132" t="str">
        <f>""</f>
        <v/>
      </c>
      <c r="DA132" t="str">
        <f>""</f>
        <v/>
      </c>
      <c r="DB132" t="str">
        <f>""</f>
        <v/>
      </c>
      <c r="DC132" t="str">
        <f>""</f>
        <v/>
      </c>
      <c r="DD132" t="str">
        <f>""</f>
        <v/>
      </c>
      <c r="DE132" t="str">
        <f>""</f>
        <v/>
      </c>
      <c r="DF132" t="str">
        <f>""</f>
        <v/>
      </c>
      <c r="DG132" t="str">
        <f>""</f>
        <v/>
      </c>
      <c r="DH132" t="str">
        <f>""</f>
        <v/>
      </c>
      <c r="DI132" t="str">
        <f>""</f>
        <v/>
      </c>
      <c r="DJ132" t="str">
        <f>""</f>
        <v/>
      </c>
      <c r="DK132" t="str">
        <f>""</f>
        <v/>
      </c>
      <c r="DL132" t="str">
        <f>""</f>
        <v/>
      </c>
      <c r="DM132" t="str">
        <f>""</f>
        <v/>
      </c>
      <c r="DN132" t="str">
        <f>""</f>
        <v/>
      </c>
      <c r="DO132" t="str">
        <f>""</f>
        <v/>
      </c>
      <c r="DP132" t="str">
        <f>""</f>
        <v/>
      </c>
      <c r="DQ132" t="str">
        <f>""</f>
        <v/>
      </c>
      <c r="DR132" t="str">
        <f>""</f>
        <v/>
      </c>
      <c r="DS132" t="str">
        <f>""</f>
        <v/>
      </c>
      <c r="DT132" t="str">
        <f>""</f>
        <v/>
      </c>
      <c r="DU132" t="str">
        <f>""</f>
        <v/>
      </c>
    </row>
    <row r="133" spans="1:125">
      <c r="A133" t="str">
        <f>"    Fifth Third Bancorp"</f>
        <v xml:space="preserve">    Fifth Third Bancorp</v>
      </c>
      <c r="B133" t="str">
        <f>"FITB US Equity"</f>
        <v>FITB US Equity</v>
      </c>
      <c r="C133" t="str">
        <f t="shared" si="16"/>
        <v>BS965</v>
      </c>
      <c r="D133" t="str">
        <f t="shared" si="17"/>
        <v>BS_COMML_MTG_SERVICING_PORTFOLIO</v>
      </c>
      <c r="E133" t="str">
        <f t="shared" si="18"/>
        <v>Dynamic</v>
      </c>
      <c r="F133" t="str">
        <f ca="1">IF(AND(ISNUMBER($F$329),$B$185=1),$F$329,HLOOKUP(INDIRECT(ADDRESS(2,COLUMN())),OFFSET($BN$2,0,0,ROW()-1,60),ROW()-1,FALSE))</f>
        <v/>
      </c>
      <c r="G133" t="str">
        <f ca="1">IF(AND(ISNUMBER($G$329),$B$185=1),$G$329,HLOOKUP(INDIRECT(ADDRESS(2,COLUMN())),OFFSET($BN$2,0,0,ROW()-1,60),ROW()-1,FALSE))</f>
        <v/>
      </c>
      <c r="H133" t="str">
        <f ca="1">IF(AND(ISNUMBER($H$329),$B$185=1),$H$329,HLOOKUP(INDIRECT(ADDRESS(2,COLUMN())),OFFSET($BN$2,0,0,ROW()-1,60),ROW()-1,FALSE))</f>
        <v/>
      </c>
      <c r="I133" t="str">
        <f ca="1">IF(AND(ISNUMBER($I$329),$B$185=1),$I$329,HLOOKUP(INDIRECT(ADDRESS(2,COLUMN())),OFFSET($BN$2,0,0,ROW()-1,60),ROW()-1,FALSE))</f>
        <v/>
      </c>
      <c r="J133" t="str">
        <f ca="1">IF(AND(ISNUMBER($J$329),$B$185=1),$J$329,HLOOKUP(INDIRECT(ADDRESS(2,COLUMN())),OFFSET($BN$2,0,0,ROW()-1,60),ROW()-1,FALSE))</f>
        <v/>
      </c>
      <c r="K133" t="str">
        <f ca="1">IF(AND(ISNUMBER($K$329),$B$185=1),$K$329,HLOOKUP(INDIRECT(ADDRESS(2,COLUMN())),OFFSET($BN$2,0,0,ROW()-1,60),ROW()-1,FALSE))</f>
        <v/>
      </c>
      <c r="L133" t="str">
        <f ca="1">IF(AND(ISNUMBER($L$329),$B$185=1),$L$329,HLOOKUP(INDIRECT(ADDRESS(2,COLUMN())),OFFSET($BN$2,0,0,ROW()-1,60),ROW()-1,FALSE))</f>
        <v/>
      </c>
      <c r="M133" t="str">
        <f ca="1">IF(AND(ISNUMBER($M$329),$B$185=1),$M$329,HLOOKUP(INDIRECT(ADDRESS(2,COLUMN())),OFFSET($BN$2,0,0,ROW()-1,60),ROW()-1,FALSE))</f>
        <v/>
      </c>
      <c r="N133" t="str">
        <f ca="1">IF(AND(ISNUMBER($N$329),$B$185=1),$N$329,HLOOKUP(INDIRECT(ADDRESS(2,COLUMN())),OFFSET($BN$2,0,0,ROW()-1,60),ROW()-1,FALSE))</f>
        <v/>
      </c>
      <c r="O133" t="str">
        <f ca="1">IF(AND(ISNUMBER($O$329),$B$185=1),$O$329,HLOOKUP(INDIRECT(ADDRESS(2,COLUMN())),OFFSET($BN$2,0,0,ROW()-1,60),ROW()-1,FALSE))</f>
        <v/>
      </c>
      <c r="P133" t="str">
        <f ca="1">IF(AND(ISNUMBER($P$329),$B$185=1),$P$329,HLOOKUP(INDIRECT(ADDRESS(2,COLUMN())),OFFSET($BN$2,0,0,ROW()-1,60),ROW()-1,FALSE))</f>
        <v/>
      </c>
      <c r="Q133" t="str">
        <f ca="1">IF(AND(ISNUMBER($Q$329),$B$185=1),$Q$329,HLOOKUP(INDIRECT(ADDRESS(2,COLUMN())),OFFSET($BN$2,0,0,ROW()-1,60),ROW()-1,FALSE))</f>
        <v/>
      </c>
      <c r="R133" t="str">
        <f ca="1">IF(AND(ISNUMBER($R$329),$B$185=1),$R$329,HLOOKUP(INDIRECT(ADDRESS(2,COLUMN())),OFFSET($BN$2,0,0,ROW()-1,60),ROW()-1,FALSE))</f>
        <v/>
      </c>
      <c r="S133" t="str">
        <f ca="1">IF(AND(ISNUMBER($S$329),$B$185=1),$S$329,HLOOKUP(INDIRECT(ADDRESS(2,COLUMN())),OFFSET($BN$2,0,0,ROW()-1,60),ROW()-1,FALSE))</f>
        <v/>
      </c>
      <c r="T133" t="str">
        <f ca="1">IF(AND(ISNUMBER($T$329),$B$185=1),$T$329,HLOOKUP(INDIRECT(ADDRESS(2,COLUMN())),OFFSET($BN$2,0,0,ROW()-1,60),ROW()-1,FALSE))</f>
        <v/>
      </c>
      <c r="U133" t="str">
        <f ca="1">IF(AND(ISNUMBER($U$329),$B$185=1),$U$329,HLOOKUP(INDIRECT(ADDRESS(2,COLUMN())),OFFSET($BN$2,0,0,ROW()-1,60),ROW()-1,FALSE))</f>
        <v/>
      </c>
      <c r="V133" t="str">
        <f ca="1">IF(AND(ISNUMBER($V$329),$B$185=1),$V$329,HLOOKUP(INDIRECT(ADDRESS(2,COLUMN())),OFFSET($BN$2,0,0,ROW()-1,60),ROW()-1,FALSE))</f>
        <v/>
      </c>
      <c r="W133" t="str">
        <f ca="1">IF(AND(ISNUMBER($W$329),$B$185=1),$W$329,HLOOKUP(INDIRECT(ADDRESS(2,COLUMN())),OFFSET($BN$2,0,0,ROW()-1,60),ROW()-1,FALSE))</f>
        <v/>
      </c>
      <c r="X133" t="str">
        <f ca="1">IF(AND(ISNUMBER($X$329),$B$185=1),$X$329,HLOOKUP(INDIRECT(ADDRESS(2,COLUMN())),OFFSET($BN$2,0,0,ROW()-1,60),ROW()-1,FALSE))</f>
        <v/>
      </c>
      <c r="Y133" t="str">
        <f ca="1">IF(AND(ISNUMBER($Y$329),$B$185=1),$Y$329,HLOOKUP(INDIRECT(ADDRESS(2,COLUMN())),OFFSET($BN$2,0,0,ROW()-1,60),ROW()-1,FALSE))</f>
        <v/>
      </c>
      <c r="Z133" t="str">
        <f ca="1">IF(AND(ISNUMBER($Z$329),$B$185=1),$Z$329,HLOOKUP(INDIRECT(ADDRESS(2,COLUMN())),OFFSET($BN$2,0,0,ROW()-1,60),ROW()-1,FALSE))</f>
        <v/>
      </c>
      <c r="AA133" t="str">
        <f ca="1">IF(AND(ISNUMBER($AA$329),$B$185=1),$AA$329,HLOOKUP(INDIRECT(ADDRESS(2,COLUMN())),OFFSET($BN$2,0,0,ROW()-1,60),ROW()-1,FALSE))</f>
        <v/>
      </c>
      <c r="AB133" t="str">
        <f ca="1">IF(AND(ISNUMBER($AB$329),$B$185=1),$AB$329,HLOOKUP(INDIRECT(ADDRESS(2,COLUMN())),OFFSET($BN$2,0,0,ROW()-1,60),ROW()-1,FALSE))</f>
        <v/>
      </c>
      <c r="AC133" t="str">
        <f ca="1">IF(AND(ISNUMBER($AC$329),$B$185=1),$AC$329,HLOOKUP(INDIRECT(ADDRESS(2,COLUMN())),OFFSET($BN$2,0,0,ROW()-1,60),ROW()-1,FALSE))</f>
        <v/>
      </c>
      <c r="AD133" t="str">
        <f ca="1">IF(AND(ISNUMBER($AD$329),$B$185=1),$AD$329,HLOOKUP(INDIRECT(ADDRESS(2,COLUMN())),OFFSET($BN$2,0,0,ROW()-1,60),ROW()-1,FALSE))</f>
        <v/>
      </c>
      <c r="AE133" t="str">
        <f ca="1">IF(AND(ISNUMBER($AE$329),$B$185=1),$AE$329,HLOOKUP(INDIRECT(ADDRESS(2,COLUMN())),OFFSET($BN$2,0,0,ROW()-1,60),ROW()-1,FALSE))</f>
        <v/>
      </c>
      <c r="AF133" t="str">
        <f ca="1">IF(AND(ISNUMBER($AF$329),$B$185=1),$AF$329,HLOOKUP(INDIRECT(ADDRESS(2,COLUMN())),OFFSET($BN$2,0,0,ROW()-1,60),ROW()-1,FALSE))</f>
        <v/>
      </c>
      <c r="AG133" t="str">
        <f ca="1">IF(AND(ISNUMBER($AG$329),$B$185=1),$AG$329,HLOOKUP(INDIRECT(ADDRESS(2,COLUMN())),OFFSET($BN$2,0,0,ROW()-1,60),ROW()-1,FALSE))</f>
        <v/>
      </c>
      <c r="AH133" t="str">
        <f ca="1">IF(AND(ISNUMBER($AH$329),$B$185=1),$AH$329,HLOOKUP(INDIRECT(ADDRESS(2,COLUMN())),OFFSET($BN$2,0,0,ROW()-1,60),ROW()-1,FALSE))</f>
        <v/>
      </c>
      <c r="AI133" t="str">
        <f ca="1">IF(AND(ISNUMBER($AI$329),$B$185=1),$AI$329,HLOOKUP(INDIRECT(ADDRESS(2,COLUMN())),OFFSET($BN$2,0,0,ROW()-1,60),ROW()-1,FALSE))</f>
        <v/>
      </c>
      <c r="AJ133" t="str">
        <f ca="1">IF(AND(ISNUMBER($AJ$329),$B$185=1),$AJ$329,HLOOKUP(INDIRECT(ADDRESS(2,COLUMN())),OFFSET($BN$2,0,0,ROW()-1,60),ROW()-1,FALSE))</f>
        <v/>
      </c>
      <c r="AK133" t="str">
        <f ca="1">IF(AND(ISNUMBER($AK$329),$B$185=1),$AK$329,HLOOKUP(INDIRECT(ADDRESS(2,COLUMN())),OFFSET($BN$2,0,0,ROW()-1,60),ROW()-1,FALSE))</f>
        <v/>
      </c>
      <c r="AL133" t="str">
        <f ca="1">IF(AND(ISNUMBER($AL$329),$B$185=1),$AL$329,HLOOKUP(INDIRECT(ADDRESS(2,COLUMN())),OFFSET($BN$2,0,0,ROW()-1,60),ROW()-1,FALSE))</f>
        <v/>
      </c>
      <c r="AM133" t="str">
        <f ca="1">IF(AND(ISNUMBER($AM$329),$B$185=1),$AM$329,HLOOKUP(INDIRECT(ADDRESS(2,COLUMN())),OFFSET($BN$2,0,0,ROW()-1,60),ROW()-1,FALSE))</f>
        <v/>
      </c>
      <c r="AN133" t="str">
        <f ca="1">IF(AND(ISNUMBER($AN$329),$B$185=1),$AN$329,HLOOKUP(INDIRECT(ADDRESS(2,COLUMN())),OFFSET($BN$2,0,0,ROW()-1,60),ROW()-1,FALSE))</f>
        <v/>
      </c>
      <c r="AO133" t="str">
        <f ca="1">IF(AND(ISNUMBER($AO$329),$B$185=1),$AO$329,HLOOKUP(INDIRECT(ADDRESS(2,COLUMN())),OFFSET($BN$2,0,0,ROW()-1,60),ROW()-1,FALSE))</f>
        <v/>
      </c>
      <c r="AP133" t="str">
        <f ca="1">IF(AND(ISNUMBER($AP$329),$B$185=1),$AP$329,HLOOKUP(INDIRECT(ADDRESS(2,COLUMN())),OFFSET($BN$2,0,0,ROW()-1,60),ROW()-1,FALSE))</f>
        <v/>
      </c>
      <c r="AQ133" t="str">
        <f ca="1">IF(AND(ISNUMBER($AQ$329),$B$185=1),$AQ$329,HLOOKUP(INDIRECT(ADDRESS(2,COLUMN())),OFFSET($BN$2,0,0,ROW()-1,60),ROW()-1,FALSE))</f>
        <v/>
      </c>
      <c r="AR133" t="str">
        <f ca="1">IF(AND(ISNUMBER($AR$329),$B$185=1),$AR$329,HLOOKUP(INDIRECT(ADDRESS(2,COLUMN())),OFFSET($BN$2,0,0,ROW()-1,60),ROW()-1,FALSE))</f>
        <v/>
      </c>
      <c r="AS133" t="str">
        <f ca="1">IF(AND(ISNUMBER($AS$329),$B$185=1),$AS$329,HLOOKUP(INDIRECT(ADDRESS(2,COLUMN())),OFFSET($BN$2,0,0,ROW()-1,60),ROW()-1,FALSE))</f>
        <v/>
      </c>
      <c r="AT133" t="str">
        <f ca="1">IF(AND(ISNUMBER($AT$329),$B$185=1),$AT$329,HLOOKUP(INDIRECT(ADDRESS(2,COLUMN())),OFFSET($BN$2,0,0,ROW()-1,60),ROW()-1,FALSE))</f>
        <v/>
      </c>
      <c r="AU133" t="str">
        <f ca="1">IF(AND(ISNUMBER($AU$329),$B$185=1),$AU$329,HLOOKUP(INDIRECT(ADDRESS(2,COLUMN())),OFFSET($BN$2,0,0,ROW()-1,60),ROW()-1,FALSE))</f>
        <v/>
      </c>
      <c r="AV133" t="str">
        <f ca="1">IF(AND(ISNUMBER($AV$329),$B$185=1),$AV$329,HLOOKUP(INDIRECT(ADDRESS(2,COLUMN())),OFFSET($BN$2,0,0,ROW()-1,60),ROW()-1,FALSE))</f>
        <v/>
      </c>
      <c r="AW133" t="str">
        <f ca="1">IF(AND(ISNUMBER($AW$329),$B$185=1),$AW$329,HLOOKUP(INDIRECT(ADDRESS(2,COLUMN())),OFFSET($BN$2,0,0,ROW()-1,60),ROW()-1,FALSE))</f>
        <v/>
      </c>
      <c r="AX133" t="str">
        <f ca="1">IF(AND(ISNUMBER($AX$329),$B$185=1),$AX$329,HLOOKUP(INDIRECT(ADDRESS(2,COLUMN())),OFFSET($BN$2,0,0,ROW()-1,60),ROW()-1,FALSE))</f>
        <v/>
      </c>
      <c r="AY133" t="str">
        <f ca="1">IF(AND(ISNUMBER($AY$329),$B$185=1),$AY$329,HLOOKUP(INDIRECT(ADDRESS(2,COLUMN())),OFFSET($BN$2,0,0,ROW()-1,60),ROW()-1,FALSE))</f>
        <v/>
      </c>
      <c r="AZ133" t="str">
        <f ca="1">IF(AND(ISNUMBER($AZ$329),$B$185=1),$AZ$329,HLOOKUP(INDIRECT(ADDRESS(2,COLUMN())),OFFSET($BN$2,0,0,ROW()-1,60),ROW()-1,FALSE))</f>
        <v/>
      </c>
      <c r="BA133" t="str">
        <f ca="1">IF(AND(ISNUMBER($BA$329),$B$185=1),$BA$329,HLOOKUP(INDIRECT(ADDRESS(2,COLUMN())),OFFSET($BN$2,0,0,ROW()-1,60),ROW()-1,FALSE))</f>
        <v/>
      </c>
      <c r="BB133" t="str">
        <f ca="1">IF(AND(ISNUMBER($BB$329),$B$185=1),$BB$329,HLOOKUP(INDIRECT(ADDRESS(2,COLUMN())),OFFSET($BN$2,0,0,ROW()-1,60),ROW()-1,FALSE))</f>
        <v/>
      </c>
      <c r="BC133" t="str">
        <f ca="1">IF(AND(ISNUMBER($BC$329),$B$185=1),$BC$329,HLOOKUP(INDIRECT(ADDRESS(2,COLUMN())),OFFSET($BN$2,0,0,ROW()-1,60),ROW()-1,FALSE))</f>
        <v/>
      </c>
      <c r="BD133" t="str">
        <f ca="1">IF(AND(ISNUMBER($BD$329),$B$185=1),$BD$329,HLOOKUP(INDIRECT(ADDRESS(2,COLUMN())),OFFSET($BN$2,0,0,ROW()-1,60),ROW()-1,FALSE))</f>
        <v/>
      </c>
      <c r="BE133" t="str">
        <f ca="1">IF(AND(ISNUMBER($BE$329),$B$185=1),$BE$329,HLOOKUP(INDIRECT(ADDRESS(2,COLUMN())),OFFSET($BN$2,0,0,ROW()-1,60),ROW()-1,FALSE))</f>
        <v/>
      </c>
      <c r="BF133" t="str">
        <f ca="1">IF(AND(ISNUMBER($BF$329),$B$185=1),$BF$329,HLOOKUP(INDIRECT(ADDRESS(2,COLUMN())),OFFSET($BN$2,0,0,ROW()-1,60),ROW()-1,FALSE))</f>
        <v/>
      </c>
      <c r="BG133" t="str">
        <f ca="1">IF(AND(ISNUMBER($BG$329),$B$185=1),$BG$329,HLOOKUP(INDIRECT(ADDRESS(2,COLUMN())),OFFSET($BN$2,0,0,ROW()-1,60),ROW()-1,FALSE))</f>
        <v/>
      </c>
      <c r="BH133" t="str">
        <f ca="1">IF(AND(ISNUMBER($BH$329),$B$185=1),$BH$329,HLOOKUP(INDIRECT(ADDRESS(2,COLUMN())),OFFSET($BN$2,0,0,ROW()-1,60),ROW()-1,FALSE))</f>
        <v/>
      </c>
      <c r="BI133" t="str">
        <f ca="1">IF(AND(ISNUMBER($BI$329),$B$185=1),$BI$329,HLOOKUP(INDIRECT(ADDRESS(2,COLUMN())),OFFSET($BN$2,0,0,ROW()-1,60),ROW()-1,FALSE))</f>
        <v/>
      </c>
      <c r="BJ133" t="str">
        <f ca="1">IF(AND(ISNUMBER($BJ$329),$B$185=1),$BJ$329,HLOOKUP(INDIRECT(ADDRESS(2,COLUMN())),OFFSET($BN$2,0,0,ROW()-1,60),ROW()-1,FALSE))</f>
        <v/>
      </c>
      <c r="BK133" t="str">
        <f ca="1">IF(AND(ISNUMBER($BK$329),$B$185=1),$BK$329,HLOOKUP(INDIRECT(ADDRESS(2,COLUMN())),OFFSET($BN$2,0,0,ROW()-1,60),ROW()-1,FALSE))</f>
        <v/>
      </c>
      <c r="BL133" t="str">
        <f ca="1">IF(AND(ISNUMBER($BL$329),$B$185=1),$BL$329,HLOOKUP(INDIRECT(ADDRESS(2,COLUMN())),OFFSET($BN$2,0,0,ROW()-1,60),ROW()-1,FALSE))</f>
        <v/>
      </c>
      <c r="BM133" t="str">
        <f ca="1">IF(AND(ISNUMBER($BM$329),$B$185=1),$BM$329,HLOOKUP(INDIRECT(ADDRESS(2,COLUMN())),OFFSET($BN$2,0,0,ROW()-1,60),ROW()-1,FALSE))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  <c r="BT133" t="str">
        <f>""</f>
        <v/>
      </c>
      <c r="BU133" t="str">
        <f>""</f>
        <v/>
      </c>
      <c r="BV133" t="str">
        <f>""</f>
        <v/>
      </c>
      <c r="BW133" t="str">
        <f>""</f>
        <v/>
      </c>
      <c r="BX133" t="str">
        <f>""</f>
        <v/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  <c r="CI133" t="str">
        <f>""</f>
        <v/>
      </c>
      <c r="CJ133" t="str">
        <f>""</f>
        <v/>
      </c>
      <c r="CK133" t="str">
        <f>""</f>
        <v/>
      </c>
      <c r="CL133" t="str">
        <f>""</f>
        <v/>
      </c>
      <c r="CM133" t="str">
        <f>""</f>
        <v/>
      </c>
      <c r="CN133" t="str">
        <f>""</f>
        <v/>
      </c>
      <c r="CO133" t="str">
        <f>""</f>
        <v/>
      </c>
      <c r="CP133" t="str">
        <f>""</f>
        <v/>
      </c>
      <c r="CQ133" t="str">
        <f>""</f>
        <v/>
      </c>
      <c r="CR133" t="str">
        <f>""</f>
        <v/>
      </c>
      <c r="CS133" t="str">
        <f>""</f>
        <v/>
      </c>
      <c r="CT133" t="str">
        <f>""</f>
        <v/>
      </c>
      <c r="CU133" t="str">
        <f>""</f>
        <v/>
      </c>
      <c r="CV133" t="str">
        <f>""</f>
        <v/>
      </c>
      <c r="CW133" t="str">
        <f>""</f>
        <v/>
      </c>
      <c r="CX133" t="str">
        <f>""</f>
        <v/>
      </c>
      <c r="CY133" t="str">
        <f>""</f>
        <v/>
      </c>
      <c r="CZ133" t="str">
        <f>""</f>
        <v/>
      </c>
      <c r="DA133" t="str">
        <f>""</f>
        <v/>
      </c>
      <c r="DB133" t="str">
        <f>""</f>
        <v/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>
      <c r="A134" t="str">
        <f>"    First Citizens BancShares Inc/"</f>
        <v xml:space="preserve">    First Citizens BancShares Inc/</v>
      </c>
      <c r="B134" t="str">
        <f>"FCNCA US Equity"</f>
        <v>FCNCA US Equity</v>
      </c>
      <c r="C134" t="str">
        <f t="shared" si="16"/>
        <v>BS965</v>
      </c>
      <c r="D134" t="str">
        <f t="shared" si="17"/>
        <v>BS_COMML_MTG_SERVICING_PORTFOLIO</v>
      </c>
      <c r="E134" t="str">
        <f t="shared" si="18"/>
        <v>Dynamic</v>
      </c>
      <c r="F134" t="str">
        <f ca="1">IF(AND(ISNUMBER($F$330),$B$185=1),$F$330,HLOOKUP(INDIRECT(ADDRESS(2,COLUMN())),OFFSET($BN$2,0,0,ROW()-1,60),ROW()-1,FALSE))</f>
        <v/>
      </c>
      <c r="G134" t="str">
        <f ca="1">IF(AND(ISNUMBER($G$330),$B$185=1),$G$330,HLOOKUP(INDIRECT(ADDRESS(2,COLUMN())),OFFSET($BN$2,0,0,ROW()-1,60),ROW()-1,FALSE))</f>
        <v/>
      </c>
      <c r="H134" t="str">
        <f ca="1">IF(AND(ISNUMBER($H$330),$B$185=1),$H$330,HLOOKUP(INDIRECT(ADDRESS(2,COLUMN())),OFFSET($BN$2,0,0,ROW()-1,60),ROW()-1,FALSE))</f>
        <v/>
      </c>
      <c r="I134" t="str">
        <f ca="1">IF(AND(ISNUMBER($I$330),$B$185=1),$I$330,HLOOKUP(INDIRECT(ADDRESS(2,COLUMN())),OFFSET($BN$2,0,0,ROW()-1,60),ROW()-1,FALSE))</f>
        <v/>
      </c>
      <c r="J134" t="str">
        <f ca="1">IF(AND(ISNUMBER($J$330),$B$185=1),$J$330,HLOOKUP(INDIRECT(ADDRESS(2,COLUMN())),OFFSET($BN$2,0,0,ROW()-1,60),ROW()-1,FALSE))</f>
        <v/>
      </c>
      <c r="K134" t="str">
        <f ca="1">IF(AND(ISNUMBER($K$330),$B$185=1),$K$330,HLOOKUP(INDIRECT(ADDRESS(2,COLUMN())),OFFSET($BN$2,0,0,ROW()-1,60),ROW()-1,FALSE))</f>
        <v/>
      </c>
      <c r="L134" t="str">
        <f ca="1">IF(AND(ISNUMBER($L$330),$B$185=1),$L$330,HLOOKUP(INDIRECT(ADDRESS(2,COLUMN())),OFFSET($BN$2,0,0,ROW()-1,60),ROW()-1,FALSE))</f>
        <v/>
      </c>
      <c r="M134" t="str">
        <f ca="1">IF(AND(ISNUMBER($M$330),$B$185=1),$M$330,HLOOKUP(INDIRECT(ADDRESS(2,COLUMN())),OFFSET($BN$2,0,0,ROW()-1,60),ROW()-1,FALSE))</f>
        <v/>
      </c>
      <c r="N134" t="str">
        <f ca="1">IF(AND(ISNUMBER($N$330),$B$185=1),$N$330,HLOOKUP(INDIRECT(ADDRESS(2,COLUMN())),OFFSET($BN$2,0,0,ROW()-1,60),ROW()-1,FALSE))</f>
        <v/>
      </c>
      <c r="O134" t="str">
        <f ca="1">IF(AND(ISNUMBER($O$330),$B$185=1),$O$330,HLOOKUP(INDIRECT(ADDRESS(2,COLUMN())),OFFSET($BN$2,0,0,ROW()-1,60),ROW()-1,FALSE))</f>
        <v/>
      </c>
      <c r="P134" t="str">
        <f ca="1">IF(AND(ISNUMBER($P$330),$B$185=1),$P$330,HLOOKUP(INDIRECT(ADDRESS(2,COLUMN())),OFFSET($BN$2,0,0,ROW()-1,60),ROW()-1,FALSE))</f>
        <v/>
      </c>
      <c r="Q134" t="str">
        <f ca="1">IF(AND(ISNUMBER($Q$330),$B$185=1),$Q$330,HLOOKUP(INDIRECT(ADDRESS(2,COLUMN())),OFFSET($BN$2,0,0,ROW()-1,60),ROW()-1,FALSE))</f>
        <v/>
      </c>
      <c r="R134" t="str">
        <f ca="1">IF(AND(ISNUMBER($R$330),$B$185=1),$R$330,HLOOKUP(INDIRECT(ADDRESS(2,COLUMN())),OFFSET($BN$2,0,0,ROW()-1,60),ROW()-1,FALSE))</f>
        <v/>
      </c>
      <c r="S134" t="str">
        <f ca="1">IF(AND(ISNUMBER($S$330),$B$185=1),$S$330,HLOOKUP(INDIRECT(ADDRESS(2,COLUMN())),OFFSET($BN$2,0,0,ROW()-1,60),ROW()-1,FALSE))</f>
        <v/>
      </c>
      <c r="T134" t="str">
        <f ca="1">IF(AND(ISNUMBER($T$330),$B$185=1),$T$330,HLOOKUP(INDIRECT(ADDRESS(2,COLUMN())),OFFSET($BN$2,0,0,ROW()-1,60),ROW()-1,FALSE))</f>
        <v/>
      </c>
      <c r="U134" t="str">
        <f ca="1">IF(AND(ISNUMBER($U$330),$B$185=1),$U$330,HLOOKUP(INDIRECT(ADDRESS(2,COLUMN())),OFFSET($BN$2,0,0,ROW()-1,60),ROW()-1,FALSE))</f>
        <v/>
      </c>
      <c r="V134" t="str">
        <f ca="1">IF(AND(ISNUMBER($V$330),$B$185=1),$V$330,HLOOKUP(INDIRECT(ADDRESS(2,COLUMN())),OFFSET($BN$2,0,0,ROW()-1,60),ROW()-1,FALSE))</f>
        <v/>
      </c>
      <c r="W134" t="str">
        <f ca="1">IF(AND(ISNUMBER($W$330),$B$185=1),$W$330,HLOOKUP(INDIRECT(ADDRESS(2,COLUMN())),OFFSET($BN$2,0,0,ROW()-1,60),ROW()-1,FALSE))</f>
        <v/>
      </c>
      <c r="X134" t="str">
        <f ca="1">IF(AND(ISNUMBER($X$330),$B$185=1),$X$330,HLOOKUP(INDIRECT(ADDRESS(2,COLUMN())),OFFSET($BN$2,0,0,ROW()-1,60),ROW()-1,FALSE))</f>
        <v/>
      </c>
      <c r="Y134" t="str">
        <f ca="1">IF(AND(ISNUMBER($Y$330),$B$185=1),$Y$330,HLOOKUP(INDIRECT(ADDRESS(2,COLUMN())),OFFSET($BN$2,0,0,ROW()-1,60),ROW()-1,FALSE))</f>
        <v/>
      </c>
      <c r="Z134" t="str">
        <f ca="1">IF(AND(ISNUMBER($Z$330),$B$185=1),$Z$330,HLOOKUP(INDIRECT(ADDRESS(2,COLUMN())),OFFSET($BN$2,0,0,ROW()-1,60),ROW()-1,FALSE))</f>
        <v/>
      </c>
      <c r="AA134" t="str">
        <f ca="1">IF(AND(ISNUMBER($AA$330),$B$185=1),$AA$330,HLOOKUP(INDIRECT(ADDRESS(2,COLUMN())),OFFSET($BN$2,0,0,ROW()-1,60),ROW()-1,FALSE))</f>
        <v/>
      </c>
      <c r="AB134" t="str">
        <f ca="1">IF(AND(ISNUMBER($AB$330),$B$185=1),$AB$330,HLOOKUP(INDIRECT(ADDRESS(2,COLUMN())),OFFSET($BN$2,0,0,ROW()-1,60),ROW()-1,FALSE))</f>
        <v/>
      </c>
      <c r="AC134" t="str">
        <f ca="1">IF(AND(ISNUMBER($AC$330),$B$185=1),$AC$330,HLOOKUP(INDIRECT(ADDRESS(2,COLUMN())),OFFSET($BN$2,0,0,ROW()-1,60),ROW()-1,FALSE))</f>
        <v/>
      </c>
      <c r="AD134" t="str">
        <f ca="1">IF(AND(ISNUMBER($AD$330),$B$185=1),$AD$330,HLOOKUP(INDIRECT(ADDRESS(2,COLUMN())),OFFSET($BN$2,0,0,ROW()-1,60),ROW()-1,FALSE))</f>
        <v/>
      </c>
      <c r="AE134" t="str">
        <f ca="1">IF(AND(ISNUMBER($AE$330),$B$185=1),$AE$330,HLOOKUP(INDIRECT(ADDRESS(2,COLUMN())),OFFSET($BN$2,0,0,ROW()-1,60),ROW()-1,FALSE))</f>
        <v/>
      </c>
      <c r="AF134" t="str">
        <f ca="1">IF(AND(ISNUMBER($AF$330),$B$185=1),$AF$330,HLOOKUP(INDIRECT(ADDRESS(2,COLUMN())),OFFSET($BN$2,0,0,ROW()-1,60),ROW()-1,FALSE))</f>
        <v/>
      </c>
      <c r="AG134" t="str">
        <f ca="1">IF(AND(ISNUMBER($AG$330),$B$185=1),$AG$330,HLOOKUP(INDIRECT(ADDRESS(2,COLUMN())),OFFSET($BN$2,0,0,ROW()-1,60),ROW()-1,FALSE))</f>
        <v/>
      </c>
      <c r="AH134" t="str">
        <f ca="1">IF(AND(ISNUMBER($AH$330),$B$185=1),$AH$330,HLOOKUP(INDIRECT(ADDRESS(2,COLUMN())),OFFSET($BN$2,0,0,ROW()-1,60),ROW()-1,FALSE))</f>
        <v/>
      </c>
      <c r="AI134" t="str">
        <f ca="1">IF(AND(ISNUMBER($AI$330),$B$185=1),$AI$330,HLOOKUP(INDIRECT(ADDRESS(2,COLUMN())),OFFSET($BN$2,0,0,ROW()-1,60),ROW()-1,FALSE))</f>
        <v/>
      </c>
      <c r="AJ134" t="str">
        <f ca="1">IF(AND(ISNUMBER($AJ$330),$B$185=1),$AJ$330,HLOOKUP(INDIRECT(ADDRESS(2,COLUMN())),OFFSET($BN$2,0,0,ROW()-1,60),ROW()-1,FALSE))</f>
        <v/>
      </c>
      <c r="AK134" t="str">
        <f ca="1">IF(AND(ISNUMBER($AK$330),$B$185=1),$AK$330,HLOOKUP(INDIRECT(ADDRESS(2,COLUMN())),OFFSET($BN$2,0,0,ROW()-1,60),ROW()-1,FALSE))</f>
        <v/>
      </c>
      <c r="AL134" t="str">
        <f ca="1">IF(AND(ISNUMBER($AL$330),$B$185=1),$AL$330,HLOOKUP(INDIRECT(ADDRESS(2,COLUMN())),OFFSET($BN$2,0,0,ROW()-1,60),ROW()-1,FALSE))</f>
        <v/>
      </c>
      <c r="AM134" t="str">
        <f ca="1">IF(AND(ISNUMBER($AM$330),$B$185=1),$AM$330,HLOOKUP(INDIRECT(ADDRESS(2,COLUMN())),OFFSET($BN$2,0,0,ROW()-1,60),ROW()-1,FALSE))</f>
        <v/>
      </c>
      <c r="AN134" t="str">
        <f ca="1">IF(AND(ISNUMBER($AN$330),$B$185=1),$AN$330,HLOOKUP(INDIRECT(ADDRESS(2,COLUMN())),OFFSET($BN$2,0,0,ROW()-1,60),ROW()-1,FALSE))</f>
        <v/>
      </c>
      <c r="AO134" t="str">
        <f ca="1">IF(AND(ISNUMBER($AO$330),$B$185=1),$AO$330,HLOOKUP(INDIRECT(ADDRESS(2,COLUMN())),OFFSET($BN$2,0,0,ROW()-1,60),ROW()-1,FALSE))</f>
        <v/>
      </c>
      <c r="AP134" t="str">
        <f ca="1">IF(AND(ISNUMBER($AP$330),$B$185=1),$AP$330,HLOOKUP(INDIRECT(ADDRESS(2,COLUMN())),OFFSET($BN$2,0,0,ROW()-1,60),ROW()-1,FALSE))</f>
        <v/>
      </c>
      <c r="AQ134" t="str">
        <f ca="1">IF(AND(ISNUMBER($AQ$330),$B$185=1),$AQ$330,HLOOKUP(INDIRECT(ADDRESS(2,COLUMN())),OFFSET($BN$2,0,0,ROW()-1,60),ROW()-1,FALSE))</f>
        <v/>
      </c>
      <c r="AR134" t="str">
        <f ca="1">IF(AND(ISNUMBER($AR$330),$B$185=1),$AR$330,HLOOKUP(INDIRECT(ADDRESS(2,COLUMN())),OFFSET($BN$2,0,0,ROW()-1,60),ROW()-1,FALSE))</f>
        <v/>
      </c>
      <c r="AS134" t="str">
        <f ca="1">IF(AND(ISNUMBER($AS$330),$B$185=1),$AS$330,HLOOKUP(INDIRECT(ADDRESS(2,COLUMN())),OFFSET($BN$2,0,0,ROW()-1,60),ROW()-1,FALSE))</f>
        <v/>
      </c>
      <c r="AT134" t="str">
        <f ca="1">IF(AND(ISNUMBER($AT$330),$B$185=1),$AT$330,HLOOKUP(INDIRECT(ADDRESS(2,COLUMN())),OFFSET($BN$2,0,0,ROW()-1,60),ROW()-1,FALSE))</f>
        <v/>
      </c>
      <c r="AU134" t="str">
        <f ca="1">IF(AND(ISNUMBER($AU$330),$B$185=1),$AU$330,HLOOKUP(INDIRECT(ADDRESS(2,COLUMN())),OFFSET($BN$2,0,0,ROW()-1,60),ROW()-1,FALSE))</f>
        <v/>
      </c>
      <c r="AV134" t="str">
        <f ca="1">IF(AND(ISNUMBER($AV$330),$B$185=1),$AV$330,HLOOKUP(INDIRECT(ADDRESS(2,COLUMN())),OFFSET($BN$2,0,0,ROW()-1,60),ROW()-1,FALSE))</f>
        <v/>
      </c>
      <c r="AW134" t="str">
        <f ca="1">IF(AND(ISNUMBER($AW$330),$B$185=1),$AW$330,HLOOKUP(INDIRECT(ADDRESS(2,COLUMN())),OFFSET($BN$2,0,0,ROW()-1,60),ROW()-1,FALSE))</f>
        <v/>
      </c>
      <c r="AX134" t="str">
        <f ca="1">IF(AND(ISNUMBER($AX$330),$B$185=1),$AX$330,HLOOKUP(INDIRECT(ADDRESS(2,COLUMN())),OFFSET($BN$2,0,0,ROW()-1,60),ROW()-1,FALSE))</f>
        <v/>
      </c>
      <c r="AY134" t="str">
        <f ca="1">IF(AND(ISNUMBER($AY$330),$B$185=1),$AY$330,HLOOKUP(INDIRECT(ADDRESS(2,COLUMN())),OFFSET($BN$2,0,0,ROW()-1,60),ROW()-1,FALSE))</f>
        <v/>
      </c>
      <c r="AZ134" t="str">
        <f ca="1">IF(AND(ISNUMBER($AZ$330),$B$185=1),$AZ$330,HLOOKUP(INDIRECT(ADDRESS(2,COLUMN())),OFFSET($BN$2,0,0,ROW()-1,60),ROW()-1,FALSE))</f>
        <v/>
      </c>
      <c r="BA134" t="str">
        <f ca="1">IF(AND(ISNUMBER($BA$330),$B$185=1),$BA$330,HLOOKUP(INDIRECT(ADDRESS(2,COLUMN())),OFFSET($BN$2,0,0,ROW()-1,60),ROW()-1,FALSE))</f>
        <v/>
      </c>
      <c r="BB134" t="str">
        <f ca="1">IF(AND(ISNUMBER($BB$330),$B$185=1),$BB$330,HLOOKUP(INDIRECT(ADDRESS(2,COLUMN())),OFFSET($BN$2,0,0,ROW()-1,60),ROW()-1,FALSE))</f>
        <v/>
      </c>
      <c r="BC134" t="str">
        <f ca="1">IF(AND(ISNUMBER($BC$330),$B$185=1),$BC$330,HLOOKUP(INDIRECT(ADDRESS(2,COLUMN())),OFFSET($BN$2,0,0,ROW()-1,60),ROW()-1,FALSE))</f>
        <v/>
      </c>
      <c r="BD134" t="str">
        <f ca="1">IF(AND(ISNUMBER($BD$330),$B$185=1),$BD$330,HLOOKUP(INDIRECT(ADDRESS(2,COLUMN())),OFFSET($BN$2,0,0,ROW()-1,60),ROW()-1,FALSE))</f>
        <v/>
      </c>
      <c r="BE134" t="str">
        <f ca="1">IF(AND(ISNUMBER($BE$330),$B$185=1),$BE$330,HLOOKUP(INDIRECT(ADDRESS(2,COLUMN())),OFFSET($BN$2,0,0,ROW()-1,60),ROW()-1,FALSE))</f>
        <v/>
      </c>
      <c r="BF134" t="str">
        <f ca="1">IF(AND(ISNUMBER($BF$330),$B$185=1),$BF$330,HLOOKUP(INDIRECT(ADDRESS(2,COLUMN())),OFFSET($BN$2,0,0,ROW()-1,60),ROW()-1,FALSE))</f>
        <v/>
      </c>
      <c r="BG134" t="str">
        <f ca="1">IF(AND(ISNUMBER($BG$330),$B$185=1),$BG$330,HLOOKUP(INDIRECT(ADDRESS(2,COLUMN())),OFFSET($BN$2,0,0,ROW()-1,60),ROW()-1,FALSE))</f>
        <v/>
      </c>
      <c r="BH134" t="str">
        <f ca="1">IF(AND(ISNUMBER($BH$330),$B$185=1),$BH$330,HLOOKUP(INDIRECT(ADDRESS(2,COLUMN())),OFFSET($BN$2,0,0,ROW()-1,60),ROW()-1,FALSE))</f>
        <v/>
      </c>
      <c r="BI134" t="str">
        <f ca="1">IF(AND(ISNUMBER($BI$330),$B$185=1),$BI$330,HLOOKUP(INDIRECT(ADDRESS(2,COLUMN())),OFFSET($BN$2,0,0,ROW()-1,60),ROW()-1,FALSE))</f>
        <v/>
      </c>
      <c r="BJ134" t="str">
        <f ca="1">IF(AND(ISNUMBER($BJ$330),$B$185=1),$BJ$330,HLOOKUP(INDIRECT(ADDRESS(2,COLUMN())),OFFSET($BN$2,0,0,ROW()-1,60),ROW()-1,FALSE))</f>
        <v/>
      </c>
      <c r="BK134" t="str">
        <f ca="1">IF(AND(ISNUMBER($BK$330),$B$185=1),$BK$330,HLOOKUP(INDIRECT(ADDRESS(2,COLUMN())),OFFSET($BN$2,0,0,ROW()-1,60),ROW()-1,FALSE))</f>
        <v/>
      </c>
      <c r="BL134" t="str">
        <f ca="1">IF(AND(ISNUMBER($BL$330),$B$185=1),$BL$330,HLOOKUP(INDIRECT(ADDRESS(2,COLUMN())),OFFSET($BN$2,0,0,ROW()-1,60),ROW()-1,FALSE))</f>
        <v/>
      </c>
      <c r="BM134" t="str">
        <f ca="1">IF(AND(ISNUMBER($BM$330),$B$185=1),$BM$330,HLOOKUP(INDIRECT(ADDRESS(2,COLUMN())),OFFSET($BN$2,0,0,ROW()-1,60),ROW()-1,FALSE))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>
      <c r="A135" t="str">
        <f>"    Flagstar Financial Inc"</f>
        <v xml:space="preserve">    Flagstar Financial Inc</v>
      </c>
      <c r="B135" t="str">
        <f>"FLG US Equity"</f>
        <v>FLG US Equity</v>
      </c>
      <c r="C135" t="str">
        <f t="shared" si="16"/>
        <v>BS965</v>
      </c>
      <c r="D135" t="str">
        <f t="shared" si="17"/>
        <v>BS_COMML_MTG_SERVICING_PORTFOLIO</v>
      </c>
      <c r="E135" t="str">
        <f t="shared" si="18"/>
        <v>Dynamic</v>
      </c>
      <c r="F135" t="str">
        <f ca="1">IF(AND(ISNUMBER($F$331),$B$185=1),$F$331,HLOOKUP(INDIRECT(ADDRESS(2,COLUMN())),OFFSET($BN$2,0,0,ROW()-1,60),ROW()-1,FALSE))</f>
        <v/>
      </c>
      <c r="G135" t="str">
        <f ca="1">IF(AND(ISNUMBER($G$331),$B$185=1),$G$331,HLOOKUP(INDIRECT(ADDRESS(2,COLUMN())),OFFSET($BN$2,0,0,ROW()-1,60),ROW()-1,FALSE))</f>
        <v/>
      </c>
      <c r="H135" t="str">
        <f ca="1">IF(AND(ISNUMBER($H$331),$B$185=1),$H$331,HLOOKUP(INDIRECT(ADDRESS(2,COLUMN())),OFFSET($BN$2,0,0,ROW()-1,60),ROW()-1,FALSE))</f>
        <v/>
      </c>
      <c r="I135" t="str">
        <f ca="1">IF(AND(ISNUMBER($I$331),$B$185=1),$I$331,HLOOKUP(INDIRECT(ADDRESS(2,COLUMN())),OFFSET($BN$2,0,0,ROW()-1,60),ROW()-1,FALSE))</f>
        <v/>
      </c>
      <c r="J135" t="str">
        <f ca="1">IF(AND(ISNUMBER($J$331),$B$185=1),$J$331,HLOOKUP(INDIRECT(ADDRESS(2,COLUMN())),OFFSET($BN$2,0,0,ROW()-1,60),ROW()-1,FALSE))</f>
        <v/>
      </c>
      <c r="K135" t="str">
        <f ca="1">IF(AND(ISNUMBER($K$331),$B$185=1),$K$331,HLOOKUP(INDIRECT(ADDRESS(2,COLUMN())),OFFSET($BN$2,0,0,ROW()-1,60),ROW()-1,FALSE))</f>
        <v/>
      </c>
      <c r="L135" t="str">
        <f ca="1">IF(AND(ISNUMBER($L$331),$B$185=1),$L$331,HLOOKUP(INDIRECT(ADDRESS(2,COLUMN())),OFFSET($BN$2,0,0,ROW()-1,60),ROW()-1,FALSE))</f>
        <v/>
      </c>
      <c r="M135" t="str">
        <f ca="1">IF(AND(ISNUMBER($M$331),$B$185=1),$M$331,HLOOKUP(INDIRECT(ADDRESS(2,COLUMN())),OFFSET($BN$2,0,0,ROW()-1,60),ROW()-1,FALSE))</f>
        <v/>
      </c>
      <c r="N135" t="str">
        <f ca="1">IF(AND(ISNUMBER($N$331),$B$185=1),$N$331,HLOOKUP(INDIRECT(ADDRESS(2,COLUMN())),OFFSET($BN$2,0,0,ROW()-1,60),ROW()-1,FALSE))</f>
        <v/>
      </c>
      <c r="O135" t="str">
        <f ca="1">IF(AND(ISNUMBER($O$331),$B$185=1),$O$331,HLOOKUP(INDIRECT(ADDRESS(2,COLUMN())),OFFSET($BN$2,0,0,ROW()-1,60),ROW()-1,FALSE))</f>
        <v/>
      </c>
      <c r="P135" t="str">
        <f ca="1">IF(AND(ISNUMBER($P$331),$B$185=1),$P$331,HLOOKUP(INDIRECT(ADDRESS(2,COLUMN())),OFFSET($BN$2,0,0,ROW()-1,60),ROW()-1,FALSE))</f>
        <v/>
      </c>
      <c r="Q135" t="str">
        <f ca="1">IF(AND(ISNUMBER($Q$331),$B$185=1),$Q$331,HLOOKUP(INDIRECT(ADDRESS(2,COLUMN())),OFFSET($BN$2,0,0,ROW()-1,60),ROW()-1,FALSE))</f>
        <v/>
      </c>
      <c r="R135" t="str">
        <f ca="1">IF(AND(ISNUMBER($R$331),$B$185=1),$R$331,HLOOKUP(INDIRECT(ADDRESS(2,COLUMN())),OFFSET($BN$2,0,0,ROW()-1,60),ROW()-1,FALSE))</f>
        <v/>
      </c>
      <c r="S135" t="str">
        <f ca="1">IF(AND(ISNUMBER($S$331),$B$185=1),$S$331,HLOOKUP(INDIRECT(ADDRESS(2,COLUMN())),OFFSET($BN$2,0,0,ROW()-1,60),ROW()-1,FALSE))</f>
        <v/>
      </c>
      <c r="T135" t="str">
        <f ca="1">IF(AND(ISNUMBER($T$331),$B$185=1),$T$331,HLOOKUP(INDIRECT(ADDRESS(2,COLUMN())),OFFSET($BN$2,0,0,ROW()-1,60),ROW()-1,FALSE))</f>
        <v/>
      </c>
      <c r="U135" t="str">
        <f ca="1">IF(AND(ISNUMBER($U$331),$B$185=1),$U$331,HLOOKUP(INDIRECT(ADDRESS(2,COLUMN())),OFFSET($BN$2,0,0,ROW()-1,60),ROW()-1,FALSE))</f>
        <v/>
      </c>
      <c r="V135" t="str">
        <f ca="1">IF(AND(ISNUMBER($V$331),$B$185=1),$V$331,HLOOKUP(INDIRECT(ADDRESS(2,COLUMN())),OFFSET($BN$2,0,0,ROW()-1,60),ROW()-1,FALSE))</f>
        <v/>
      </c>
      <c r="W135" t="str">
        <f ca="1">IF(AND(ISNUMBER($W$331),$B$185=1),$W$331,HLOOKUP(INDIRECT(ADDRESS(2,COLUMN())),OFFSET($BN$2,0,0,ROW()-1,60),ROW()-1,FALSE))</f>
        <v/>
      </c>
      <c r="X135" t="str">
        <f ca="1">IF(AND(ISNUMBER($X$331),$B$185=1),$X$331,HLOOKUP(INDIRECT(ADDRESS(2,COLUMN())),OFFSET($BN$2,0,0,ROW()-1,60),ROW()-1,FALSE))</f>
        <v/>
      </c>
      <c r="Y135" t="str">
        <f ca="1">IF(AND(ISNUMBER($Y$331),$B$185=1),$Y$331,HLOOKUP(INDIRECT(ADDRESS(2,COLUMN())),OFFSET($BN$2,0,0,ROW()-1,60),ROW()-1,FALSE))</f>
        <v/>
      </c>
      <c r="Z135" t="str">
        <f ca="1">IF(AND(ISNUMBER($Z$331),$B$185=1),$Z$331,HLOOKUP(INDIRECT(ADDRESS(2,COLUMN())),OFFSET($BN$2,0,0,ROW()-1,60),ROW()-1,FALSE))</f>
        <v/>
      </c>
      <c r="AA135" t="str">
        <f ca="1">IF(AND(ISNUMBER($AA$331),$B$185=1),$AA$331,HLOOKUP(INDIRECT(ADDRESS(2,COLUMN())),OFFSET($BN$2,0,0,ROW()-1,60),ROW()-1,FALSE))</f>
        <v/>
      </c>
      <c r="AB135" t="str">
        <f ca="1">IF(AND(ISNUMBER($AB$331),$B$185=1),$AB$331,HLOOKUP(INDIRECT(ADDRESS(2,COLUMN())),OFFSET($BN$2,0,0,ROW()-1,60),ROW()-1,FALSE))</f>
        <v/>
      </c>
      <c r="AC135" t="str">
        <f ca="1">IF(AND(ISNUMBER($AC$331),$B$185=1),$AC$331,HLOOKUP(INDIRECT(ADDRESS(2,COLUMN())),OFFSET($BN$2,0,0,ROW()-1,60),ROW()-1,FALSE))</f>
        <v/>
      </c>
      <c r="AD135" t="str">
        <f ca="1">IF(AND(ISNUMBER($AD$331),$B$185=1),$AD$331,HLOOKUP(INDIRECT(ADDRESS(2,COLUMN())),OFFSET($BN$2,0,0,ROW()-1,60),ROW()-1,FALSE))</f>
        <v/>
      </c>
      <c r="AE135" t="str">
        <f ca="1">IF(AND(ISNUMBER($AE$331),$B$185=1),$AE$331,HLOOKUP(INDIRECT(ADDRESS(2,COLUMN())),OFFSET($BN$2,0,0,ROW()-1,60),ROW()-1,FALSE))</f>
        <v/>
      </c>
      <c r="AF135" t="str">
        <f ca="1">IF(AND(ISNUMBER($AF$331),$B$185=1),$AF$331,HLOOKUP(INDIRECT(ADDRESS(2,COLUMN())),OFFSET($BN$2,0,0,ROW()-1,60),ROW()-1,FALSE))</f>
        <v/>
      </c>
      <c r="AG135" t="str">
        <f ca="1">IF(AND(ISNUMBER($AG$331),$B$185=1),$AG$331,HLOOKUP(INDIRECT(ADDRESS(2,COLUMN())),OFFSET($BN$2,0,0,ROW()-1,60),ROW()-1,FALSE))</f>
        <v/>
      </c>
      <c r="AH135" t="str">
        <f ca="1">IF(AND(ISNUMBER($AH$331),$B$185=1),$AH$331,HLOOKUP(INDIRECT(ADDRESS(2,COLUMN())),OFFSET($BN$2,0,0,ROW()-1,60),ROW()-1,FALSE))</f>
        <v/>
      </c>
      <c r="AI135" t="str">
        <f ca="1">IF(AND(ISNUMBER($AI$331),$B$185=1),$AI$331,HLOOKUP(INDIRECT(ADDRESS(2,COLUMN())),OFFSET($BN$2,0,0,ROW()-1,60),ROW()-1,FALSE))</f>
        <v/>
      </c>
      <c r="AJ135" t="str">
        <f ca="1">IF(AND(ISNUMBER($AJ$331),$B$185=1),$AJ$331,HLOOKUP(INDIRECT(ADDRESS(2,COLUMN())),OFFSET($BN$2,0,0,ROW()-1,60),ROW()-1,FALSE))</f>
        <v/>
      </c>
      <c r="AK135" t="str">
        <f ca="1">IF(AND(ISNUMBER($AK$331),$B$185=1),$AK$331,HLOOKUP(INDIRECT(ADDRESS(2,COLUMN())),OFFSET($BN$2,0,0,ROW()-1,60),ROW()-1,FALSE))</f>
        <v/>
      </c>
      <c r="AL135" t="str">
        <f ca="1">IF(AND(ISNUMBER($AL$331),$B$185=1),$AL$331,HLOOKUP(INDIRECT(ADDRESS(2,COLUMN())),OFFSET($BN$2,0,0,ROW()-1,60),ROW()-1,FALSE))</f>
        <v/>
      </c>
      <c r="AM135" t="str">
        <f ca="1">IF(AND(ISNUMBER($AM$331),$B$185=1),$AM$331,HLOOKUP(INDIRECT(ADDRESS(2,COLUMN())),OFFSET($BN$2,0,0,ROW()-1,60),ROW()-1,FALSE))</f>
        <v/>
      </c>
      <c r="AN135" t="str">
        <f ca="1">IF(AND(ISNUMBER($AN$331),$B$185=1),$AN$331,HLOOKUP(INDIRECT(ADDRESS(2,COLUMN())),OFFSET($BN$2,0,0,ROW()-1,60),ROW()-1,FALSE))</f>
        <v/>
      </c>
      <c r="AO135" t="str">
        <f ca="1">IF(AND(ISNUMBER($AO$331),$B$185=1),$AO$331,HLOOKUP(INDIRECT(ADDRESS(2,COLUMN())),OFFSET($BN$2,0,0,ROW()-1,60),ROW()-1,FALSE))</f>
        <v/>
      </c>
      <c r="AP135" t="str">
        <f ca="1">IF(AND(ISNUMBER($AP$331),$B$185=1),$AP$331,HLOOKUP(INDIRECT(ADDRESS(2,COLUMN())),OFFSET($BN$2,0,0,ROW()-1,60),ROW()-1,FALSE))</f>
        <v/>
      </c>
      <c r="AQ135" t="str">
        <f ca="1">IF(AND(ISNUMBER($AQ$331),$B$185=1),$AQ$331,HLOOKUP(INDIRECT(ADDRESS(2,COLUMN())),OFFSET($BN$2,0,0,ROW()-1,60),ROW()-1,FALSE))</f>
        <v/>
      </c>
      <c r="AR135" t="str">
        <f ca="1">IF(AND(ISNUMBER($AR$331),$B$185=1),$AR$331,HLOOKUP(INDIRECT(ADDRESS(2,COLUMN())),OFFSET($BN$2,0,0,ROW()-1,60),ROW()-1,FALSE))</f>
        <v/>
      </c>
      <c r="AS135" t="str">
        <f ca="1">IF(AND(ISNUMBER($AS$331),$B$185=1),$AS$331,HLOOKUP(INDIRECT(ADDRESS(2,COLUMN())),OFFSET($BN$2,0,0,ROW()-1,60),ROW()-1,FALSE))</f>
        <v/>
      </c>
      <c r="AT135" t="str">
        <f ca="1">IF(AND(ISNUMBER($AT$331),$B$185=1),$AT$331,HLOOKUP(INDIRECT(ADDRESS(2,COLUMN())),OFFSET($BN$2,0,0,ROW()-1,60),ROW()-1,FALSE))</f>
        <v/>
      </c>
      <c r="AU135" t="str">
        <f ca="1">IF(AND(ISNUMBER($AU$331),$B$185=1),$AU$331,HLOOKUP(INDIRECT(ADDRESS(2,COLUMN())),OFFSET($BN$2,0,0,ROW()-1,60),ROW()-1,FALSE))</f>
        <v/>
      </c>
      <c r="AV135" t="str">
        <f ca="1">IF(AND(ISNUMBER($AV$331),$B$185=1),$AV$331,HLOOKUP(INDIRECT(ADDRESS(2,COLUMN())),OFFSET($BN$2,0,0,ROW()-1,60),ROW()-1,FALSE))</f>
        <v/>
      </c>
      <c r="AW135" t="str">
        <f ca="1">IF(AND(ISNUMBER($AW$331),$B$185=1),$AW$331,HLOOKUP(INDIRECT(ADDRESS(2,COLUMN())),OFFSET($BN$2,0,0,ROW()-1,60),ROW()-1,FALSE))</f>
        <v/>
      </c>
      <c r="AX135" t="str">
        <f ca="1">IF(AND(ISNUMBER($AX$331),$B$185=1),$AX$331,HLOOKUP(INDIRECT(ADDRESS(2,COLUMN())),OFFSET($BN$2,0,0,ROW()-1,60),ROW()-1,FALSE))</f>
        <v/>
      </c>
      <c r="AY135" t="str">
        <f ca="1">IF(AND(ISNUMBER($AY$331),$B$185=1),$AY$331,HLOOKUP(INDIRECT(ADDRESS(2,COLUMN())),OFFSET($BN$2,0,0,ROW()-1,60),ROW()-1,FALSE))</f>
        <v/>
      </c>
      <c r="AZ135" t="str">
        <f ca="1">IF(AND(ISNUMBER($AZ$331),$B$185=1),$AZ$331,HLOOKUP(INDIRECT(ADDRESS(2,COLUMN())),OFFSET($BN$2,0,0,ROW()-1,60),ROW()-1,FALSE))</f>
        <v/>
      </c>
      <c r="BA135" t="str">
        <f ca="1">IF(AND(ISNUMBER($BA$331),$B$185=1),$BA$331,HLOOKUP(INDIRECT(ADDRESS(2,COLUMN())),OFFSET($BN$2,0,0,ROW()-1,60),ROW()-1,FALSE))</f>
        <v/>
      </c>
      <c r="BB135" t="str">
        <f ca="1">IF(AND(ISNUMBER($BB$331),$B$185=1),$BB$331,HLOOKUP(INDIRECT(ADDRESS(2,COLUMN())),OFFSET($BN$2,0,0,ROW()-1,60),ROW()-1,FALSE))</f>
        <v/>
      </c>
      <c r="BC135" t="str">
        <f ca="1">IF(AND(ISNUMBER($BC$331),$B$185=1),$BC$331,HLOOKUP(INDIRECT(ADDRESS(2,COLUMN())),OFFSET($BN$2,0,0,ROW()-1,60),ROW()-1,FALSE))</f>
        <v/>
      </c>
      <c r="BD135" t="str">
        <f ca="1">IF(AND(ISNUMBER($BD$331),$B$185=1),$BD$331,HLOOKUP(INDIRECT(ADDRESS(2,COLUMN())),OFFSET($BN$2,0,0,ROW()-1,60),ROW()-1,FALSE))</f>
        <v/>
      </c>
      <c r="BE135" t="str">
        <f ca="1">IF(AND(ISNUMBER($BE$331),$B$185=1),$BE$331,HLOOKUP(INDIRECT(ADDRESS(2,COLUMN())),OFFSET($BN$2,0,0,ROW()-1,60),ROW()-1,FALSE))</f>
        <v/>
      </c>
      <c r="BF135" t="str">
        <f ca="1">IF(AND(ISNUMBER($BF$331),$B$185=1),$BF$331,HLOOKUP(INDIRECT(ADDRESS(2,COLUMN())),OFFSET($BN$2,0,0,ROW()-1,60),ROW()-1,FALSE))</f>
        <v/>
      </c>
      <c r="BG135" t="str">
        <f ca="1">IF(AND(ISNUMBER($BG$331),$B$185=1),$BG$331,HLOOKUP(INDIRECT(ADDRESS(2,COLUMN())),OFFSET($BN$2,0,0,ROW()-1,60),ROW()-1,FALSE))</f>
        <v/>
      </c>
      <c r="BH135" t="str">
        <f ca="1">IF(AND(ISNUMBER($BH$331),$B$185=1),$BH$331,HLOOKUP(INDIRECT(ADDRESS(2,COLUMN())),OFFSET($BN$2,0,0,ROW()-1,60),ROW()-1,FALSE))</f>
        <v/>
      </c>
      <c r="BI135" t="str">
        <f ca="1">IF(AND(ISNUMBER($BI$331),$B$185=1),$BI$331,HLOOKUP(INDIRECT(ADDRESS(2,COLUMN())),OFFSET($BN$2,0,0,ROW()-1,60),ROW()-1,FALSE))</f>
        <v/>
      </c>
      <c r="BJ135" t="str">
        <f ca="1">IF(AND(ISNUMBER($BJ$331),$B$185=1),$BJ$331,HLOOKUP(INDIRECT(ADDRESS(2,COLUMN())),OFFSET($BN$2,0,0,ROW()-1,60),ROW()-1,FALSE))</f>
        <v/>
      </c>
      <c r="BK135" t="str">
        <f ca="1">IF(AND(ISNUMBER($BK$331),$B$185=1),$BK$331,HLOOKUP(INDIRECT(ADDRESS(2,COLUMN())),OFFSET($BN$2,0,0,ROW()-1,60),ROW()-1,FALSE))</f>
        <v/>
      </c>
      <c r="BL135" t="str">
        <f ca="1">IF(AND(ISNUMBER($BL$331),$B$185=1),$BL$331,HLOOKUP(INDIRECT(ADDRESS(2,COLUMN())),OFFSET($BN$2,0,0,ROW()-1,60),ROW()-1,FALSE))</f>
        <v/>
      </c>
      <c r="BM135" t="str">
        <f ca="1">IF(AND(ISNUMBER($BM$331),$B$185=1),$BM$331,HLOOKUP(INDIRECT(ADDRESS(2,COLUMN())),OFFSET($BN$2,0,0,ROW()-1,60),ROW()-1,FALSE))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  <c r="BT135" t="str">
        <f>""</f>
        <v/>
      </c>
      <c r="BU135" t="str">
        <f>""</f>
        <v/>
      </c>
      <c r="BV135" t="str">
        <f>""</f>
        <v/>
      </c>
      <c r="BW135" t="str">
        <f>""</f>
        <v/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  <c r="CI135" t="str">
        <f>""</f>
        <v/>
      </c>
      <c r="CJ135" t="str">
        <f>""</f>
        <v/>
      </c>
      <c r="CK135" t="str">
        <f>""</f>
        <v/>
      </c>
      <c r="CL135" t="str">
        <f>""</f>
        <v/>
      </c>
      <c r="CM135" t="str">
        <f>""</f>
        <v/>
      </c>
      <c r="CN135" t="str">
        <f>""</f>
        <v/>
      </c>
      <c r="CO135" t="str">
        <f>""</f>
        <v/>
      </c>
      <c r="CP135" t="str">
        <f>""</f>
        <v/>
      </c>
      <c r="CQ135" t="str">
        <f>""</f>
        <v/>
      </c>
      <c r="CR135" t="str">
        <f>""</f>
        <v/>
      </c>
      <c r="CS135" t="str">
        <f>""</f>
        <v/>
      </c>
      <c r="CT135" t="str">
        <f>""</f>
        <v/>
      </c>
      <c r="CU135" t="str">
        <f>""</f>
        <v/>
      </c>
      <c r="CV135" t="str">
        <f>""</f>
        <v/>
      </c>
      <c r="CW135" t="str">
        <f>""</f>
        <v/>
      </c>
      <c r="CX135" t="str">
        <f>""</f>
        <v/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 t="str">
        <f>""</f>
        <v/>
      </c>
      <c r="DH135" t="str">
        <f>""</f>
        <v/>
      </c>
      <c r="DI135" t="str">
        <f>""</f>
        <v/>
      </c>
      <c r="DJ135" t="str">
        <f>""</f>
        <v/>
      </c>
      <c r="DK135" t="str">
        <f>""</f>
        <v/>
      </c>
      <c r="DL135" t="str">
        <f>""</f>
        <v/>
      </c>
      <c r="DM135" t="str">
        <f>""</f>
        <v/>
      </c>
      <c r="DN135" t="str">
        <f>""</f>
        <v/>
      </c>
      <c r="DO135" t="str">
        <f>""</f>
        <v/>
      </c>
      <c r="DP135" t="str">
        <f>""</f>
        <v/>
      </c>
      <c r="DQ135" t="str">
        <f>""</f>
        <v/>
      </c>
      <c r="DR135" t="str">
        <f>""</f>
        <v/>
      </c>
      <c r="DS135" t="str">
        <f>""</f>
        <v/>
      </c>
      <c r="DT135" t="str">
        <f>""</f>
        <v/>
      </c>
      <c r="DU135" t="str">
        <f>""</f>
        <v/>
      </c>
    </row>
    <row r="136" spans="1:125">
      <c r="A136" t="str">
        <f>"    Huntington Bancshares Inc/OH"</f>
        <v xml:space="preserve">    Huntington Bancshares Inc/OH</v>
      </c>
      <c r="B136" t="str">
        <f>"HBAN US Equity"</f>
        <v>HBAN US Equity</v>
      </c>
      <c r="C136" t="str">
        <f t="shared" si="16"/>
        <v>BS965</v>
      </c>
      <c r="D136" t="str">
        <f t="shared" si="17"/>
        <v>BS_COMML_MTG_SERVICING_PORTFOLIO</v>
      </c>
      <c r="E136" t="str">
        <f t="shared" si="18"/>
        <v>Dynamic</v>
      </c>
      <c r="F136" t="str">
        <f ca="1">IF(AND(ISNUMBER($F$332),$B$185=1),$F$332,HLOOKUP(INDIRECT(ADDRESS(2,COLUMN())),OFFSET($BN$2,0,0,ROW()-1,60),ROW()-1,FALSE))</f>
        <v/>
      </c>
      <c r="G136" t="str">
        <f ca="1">IF(AND(ISNUMBER($G$332),$B$185=1),$G$332,HLOOKUP(INDIRECT(ADDRESS(2,COLUMN())),OFFSET($BN$2,0,0,ROW()-1,60),ROW()-1,FALSE))</f>
        <v/>
      </c>
      <c r="H136" t="str">
        <f ca="1">IF(AND(ISNUMBER($H$332),$B$185=1),$H$332,HLOOKUP(INDIRECT(ADDRESS(2,COLUMN())),OFFSET($BN$2,0,0,ROW()-1,60),ROW()-1,FALSE))</f>
        <v/>
      </c>
      <c r="I136" t="str">
        <f ca="1">IF(AND(ISNUMBER($I$332),$B$185=1),$I$332,HLOOKUP(INDIRECT(ADDRESS(2,COLUMN())),OFFSET($BN$2,0,0,ROW()-1,60),ROW()-1,FALSE))</f>
        <v/>
      </c>
      <c r="J136" t="str">
        <f ca="1">IF(AND(ISNUMBER($J$332),$B$185=1),$J$332,HLOOKUP(INDIRECT(ADDRESS(2,COLUMN())),OFFSET($BN$2,0,0,ROW()-1,60),ROW()-1,FALSE))</f>
        <v/>
      </c>
      <c r="K136" t="str">
        <f ca="1">IF(AND(ISNUMBER($K$332),$B$185=1),$K$332,HLOOKUP(INDIRECT(ADDRESS(2,COLUMN())),OFFSET($BN$2,0,0,ROW()-1,60),ROW()-1,FALSE))</f>
        <v/>
      </c>
      <c r="L136" t="str">
        <f ca="1">IF(AND(ISNUMBER($L$332),$B$185=1),$L$332,HLOOKUP(INDIRECT(ADDRESS(2,COLUMN())),OFFSET($BN$2,0,0,ROW()-1,60),ROW()-1,FALSE))</f>
        <v/>
      </c>
      <c r="M136" t="str">
        <f ca="1">IF(AND(ISNUMBER($M$332),$B$185=1),$M$332,HLOOKUP(INDIRECT(ADDRESS(2,COLUMN())),OFFSET($BN$2,0,0,ROW()-1,60),ROW()-1,FALSE))</f>
        <v/>
      </c>
      <c r="N136" t="str">
        <f ca="1">IF(AND(ISNUMBER($N$332),$B$185=1),$N$332,HLOOKUP(INDIRECT(ADDRESS(2,COLUMN())),OFFSET($BN$2,0,0,ROW()-1,60),ROW()-1,FALSE))</f>
        <v/>
      </c>
      <c r="O136" t="str">
        <f ca="1">IF(AND(ISNUMBER($O$332),$B$185=1),$O$332,HLOOKUP(INDIRECT(ADDRESS(2,COLUMN())),OFFSET($BN$2,0,0,ROW()-1,60),ROW()-1,FALSE))</f>
        <v/>
      </c>
      <c r="P136" t="str">
        <f ca="1">IF(AND(ISNUMBER($P$332),$B$185=1),$P$332,HLOOKUP(INDIRECT(ADDRESS(2,COLUMN())),OFFSET($BN$2,0,0,ROW()-1,60),ROW()-1,FALSE))</f>
        <v/>
      </c>
      <c r="Q136" t="str">
        <f ca="1">IF(AND(ISNUMBER($Q$332),$B$185=1),$Q$332,HLOOKUP(INDIRECT(ADDRESS(2,COLUMN())),OFFSET($BN$2,0,0,ROW()-1,60),ROW()-1,FALSE))</f>
        <v/>
      </c>
      <c r="R136" t="str">
        <f ca="1">IF(AND(ISNUMBER($R$332),$B$185=1),$R$332,HLOOKUP(INDIRECT(ADDRESS(2,COLUMN())),OFFSET($BN$2,0,0,ROW()-1,60),ROW()-1,FALSE))</f>
        <v/>
      </c>
      <c r="S136" t="str">
        <f ca="1">IF(AND(ISNUMBER($S$332),$B$185=1),$S$332,HLOOKUP(INDIRECT(ADDRESS(2,COLUMN())),OFFSET($BN$2,0,0,ROW()-1,60),ROW()-1,FALSE))</f>
        <v/>
      </c>
      <c r="T136" t="str">
        <f ca="1">IF(AND(ISNUMBER($T$332),$B$185=1),$T$332,HLOOKUP(INDIRECT(ADDRESS(2,COLUMN())),OFFSET($BN$2,0,0,ROW()-1,60),ROW()-1,FALSE))</f>
        <v/>
      </c>
      <c r="U136" t="str">
        <f ca="1">IF(AND(ISNUMBER($U$332),$B$185=1),$U$332,HLOOKUP(INDIRECT(ADDRESS(2,COLUMN())),OFFSET($BN$2,0,0,ROW()-1,60),ROW()-1,FALSE))</f>
        <v/>
      </c>
      <c r="V136" t="str">
        <f ca="1">IF(AND(ISNUMBER($V$332),$B$185=1),$V$332,HLOOKUP(INDIRECT(ADDRESS(2,COLUMN())),OFFSET($BN$2,0,0,ROW()-1,60),ROW()-1,FALSE))</f>
        <v/>
      </c>
      <c r="W136" t="str">
        <f ca="1">IF(AND(ISNUMBER($W$332),$B$185=1),$W$332,HLOOKUP(INDIRECT(ADDRESS(2,COLUMN())),OFFSET($BN$2,0,0,ROW()-1,60),ROW()-1,FALSE))</f>
        <v/>
      </c>
      <c r="X136" t="str">
        <f ca="1">IF(AND(ISNUMBER($X$332),$B$185=1),$X$332,HLOOKUP(INDIRECT(ADDRESS(2,COLUMN())),OFFSET($BN$2,0,0,ROW()-1,60),ROW()-1,FALSE))</f>
        <v/>
      </c>
      <c r="Y136" t="str">
        <f ca="1">IF(AND(ISNUMBER($Y$332),$B$185=1),$Y$332,HLOOKUP(INDIRECT(ADDRESS(2,COLUMN())),OFFSET($BN$2,0,0,ROW()-1,60),ROW()-1,FALSE))</f>
        <v/>
      </c>
      <c r="Z136" t="str">
        <f ca="1">IF(AND(ISNUMBER($Z$332),$B$185=1),$Z$332,HLOOKUP(INDIRECT(ADDRESS(2,COLUMN())),OFFSET($BN$2,0,0,ROW()-1,60),ROW()-1,FALSE))</f>
        <v/>
      </c>
      <c r="AA136" t="str">
        <f ca="1">IF(AND(ISNUMBER($AA$332),$B$185=1),$AA$332,HLOOKUP(INDIRECT(ADDRESS(2,COLUMN())),OFFSET($BN$2,0,0,ROW()-1,60),ROW()-1,FALSE))</f>
        <v/>
      </c>
      <c r="AB136" t="str">
        <f ca="1">IF(AND(ISNUMBER($AB$332),$B$185=1),$AB$332,HLOOKUP(INDIRECT(ADDRESS(2,COLUMN())),OFFSET($BN$2,0,0,ROW()-1,60),ROW()-1,FALSE))</f>
        <v/>
      </c>
      <c r="AC136" t="str">
        <f ca="1">IF(AND(ISNUMBER($AC$332),$B$185=1),$AC$332,HLOOKUP(INDIRECT(ADDRESS(2,COLUMN())),OFFSET($BN$2,0,0,ROW()-1,60),ROW()-1,FALSE))</f>
        <v/>
      </c>
      <c r="AD136" t="str">
        <f ca="1">IF(AND(ISNUMBER($AD$332),$B$185=1),$AD$332,HLOOKUP(INDIRECT(ADDRESS(2,COLUMN())),OFFSET($BN$2,0,0,ROW()-1,60),ROW()-1,FALSE))</f>
        <v/>
      </c>
      <c r="AE136" t="str">
        <f ca="1">IF(AND(ISNUMBER($AE$332),$B$185=1),$AE$332,HLOOKUP(INDIRECT(ADDRESS(2,COLUMN())),OFFSET($BN$2,0,0,ROW()-1,60),ROW()-1,FALSE))</f>
        <v/>
      </c>
      <c r="AF136" t="str">
        <f ca="1">IF(AND(ISNUMBER($AF$332),$B$185=1),$AF$332,HLOOKUP(INDIRECT(ADDRESS(2,COLUMN())),OFFSET($BN$2,0,0,ROW()-1,60),ROW()-1,FALSE))</f>
        <v/>
      </c>
      <c r="AG136" t="str">
        <f ca="1">IF(AND(ISNUMBER($AG$332),$B$185=1),$AG$332,HLOOKUP(INDIRECT(ADDRESS(2,COLUMN())),OFFSET($BN$2,0,0,ROW()-1,60),ROW()-1,FALSE))</f>
        <v/>
      </c>
      <c r="AH136" t="str">
        <f ca="1">IF(AND(ISNUMBER($AH$332),$B$185=1),$AH$332,HLOOKUP(INDIRECT(ADDRESS(2,COLUMN())),OFFSET($BN$2,0,0,ROW()-1,60),ROW()-1,FALSE))</f>
        <v/>
      </c>
      <c r="AI136" t="str">
        <f ca="1">IF(AND(ISNUMBER($AI$332),$B$185=1),$AI$332,HLOOKUP(INDIRECT(ADDRESS(2,COLUMN())),OFFSET($BN$2,0,0,ROW()-1,60),ROW()-1,FALSE))</f>
        <v/>
      </c>
      <c r="AJ136" t="str">
        <f ca="1">IF(AND(ISNUMBER($AJ$332),$B$185=1),$AJ$332,HLOOKUP(INDIRECT(ADDRESS(2,COLUMN())),OFFSET($BN$2,0,0,ROW()-1,60),ROW()-1,FALSE))</f>
        <v/>
      </c>
      <c r="AK136" t="str">
        <f ca="1">IF(AND(ISNUMBER($AK$332),$B$185=1),$AK$332,HLOOKUP(INDIRECT(ADDRESS(2,COLUMN())),OFFSET($BN$2,0,0,ROW()-1,60),ROW()-1,FALSE))</f>
        <v/>
      </c>
      <c r="AL136" t="str">
        <f ca="1">IF(AND(ISNUMBER($AL$332),$B$185=1),$AL$332,HLOOKUP(INDIRECT(ADDRESS(2,COLUMN())),OFFSET($BN$2,0,0,ROW()-1,60),ROW()-1,FALSE))</f>
        <v/>
      </c>
      <c r="AM136" t="str">
        <f ca="1">IF(AND(ISNUMBER($AM$332),$B$185=1),$AM$332,HLOOKUP(INDIRECT(ADDRESS(2,COLUMN())),OFFSET($BN$2,0,0,ROW()-1,60),ROW()-1,FALSE))</f>
        <v/>
      </c>
      <c r="AN136" t="str">
        <f ca="1">IF(AND(ISNUMBER($AN$332),$B$185=1),$AN$332,HLOOKUP(INDIRECT(ADDRESS(2,COLUMN())),OFFSET($BN$2,0,0,ROW()-1,60),ROW()-1,FALSE))</f>
        <v/>
      </c>
      <c r="AO136" t="str">
        <f ca="1">IF(AND(ISNUMBER($AO$332),$B$185=1),$AO$332,HLOOKUP(INDIRECT(ADDRESS(2,COLUMN())),OFFSET($BN$2,0,0,ROW()-1,60),ROW()-1,FALSE))</f>
        <v/>
      </c>
      <c r="AP136" t="str">
        <f ca="1">IF(AND(ISNUMBER($AP$332),$B$185=1),$AP$332,HLOOKUP(INDIRECT(ADDRESS(2,COLUMN())),OFFSET($BN$2,0,0,ROW()-1,60),ROW()-1,FALSE))</f>
        <v/>
      </c>
      <c r="AQ136" t="str">
        <f ca="1">IF(AND(ISNUMBER($AQ$332),$B$185=1),$AQ$332,HLOOKUP(INDIRECT(ADDRESS(2,COLUMN())),OFFSET($BN$2,0,0,ROW()-1,60),ROW()-1,FALSE))</f>
        <v/>
      </c>
      <c r="AR136" t="str">
        <f ca="1">IF(AND(ISNUMBER($AR$332),$B$185=1),$AR$332,HLOOKUP(INDIRECT(ADDRESS(2,COLUMN())),OFFSET($BN$2,0,0,ROW()-1,60),ROW()-1,FALSE))</f>
        <v/>
      </c>
      <c r="AS136" t="str">
        <f ca="1">IF(AND(ISNUMBER($AS$332),$B$185=1),$AS$332,HLOOKUP(INDIRECT(ADDRESS(2,COLUMN())),OFFSET($BN$2,0,0,ROW()-1,60),ROW()-1,FALSE))</f>
        <v/>
      </c>
      <c r="AT136" t="str">
        <f ca="1">IF(AND(ISNUMBER($AT$332),$B$185=1),$AT$332,HLOOKUP(INDIRECT(ADDRESS(2,COLUMN())),OFFSET($BN$2,0,0,ROW()-1,60),ROW()-1,FALSE))</f>
        <v/>
      </c>
      <c r="AU136" t="str">
        <f ca="1">IF(AND(ISNUMBER($AU$332),$B$185=1),$AU$332,HLOOKUP(INDIRECT(ADDRESS(2,COLUMN())),OFFSET($BN$2,0,0,ROW()-1,60),ROW()-1,FALSE))</f>
        <v/>
      </c>
      <c r="AV136" t="str">
        <f ca="1">IF(AND(ISNUMBER($AV$332),$B$185=1),$AV$332,HLOOKUP(INDIRECT(ADDRESS(2,COLUMN())),OFFSET($BN$2,0,0,ROW()-1,60),ROW()-1,FALSE))</f>
        <v/>
      </c>
      <c r="AW136" t="str">
        <f ca="1">IF(AND(ISNUMBER($AW$332),$B$185=1),$AW$332,HLOOKUP(INDIRECT(ADDRESS(2,COLUMN())),OFFSET($BN$2,0,0,ROW()-1,60),ROW()-1,FALSE))</f>
        <v/>
      </c>
      <c r="AX136" t="str">
        <f ca="1">IF(AND(ISNUMBER($AX$332),$B$185=1),$AX$332,HLOOKUP(INDIRECT(ADDRESS(2,COLUMN())),OFFSET($BN$2,0,0,ROW()-1,60),ROW()-1,FALSE))</f>
        <v/>
      </c>
      <c r="AY136" t="str">
        <f ca="1">IF(AND(ISNUMBER($AY$332),$B$185=1),$AY$332,HLOOKUP(INDIRECT(ADDRESS(2,COLUMN())),OFFSET($BN$2,0,0,ROW()-1,60),ROW()-1,FALSE))</f>
        <v/>
      </c>
      <c r="AZ136" t="str">
        <f ca="1">IF(AND(ISNUMBER($AZ$332),$B$185=1),$AZ$332,HLOOKUP(INDIRECT(ADDRESS(2,COLUMN())),OFFSET($BN$2,0,0,ROW()-1,60),ROW()-1,FALSE))</f>
        <v/>
      </c>
      <c r="BA136" t="str">
        <f ca="1">IF(AND(ISNUMBER($BA$332),$B$185=1),$BA$332,HLOOKUP(INDIRECT(ADDRESS(2,COLUMN())),OFFSET($BN$2,0,0,ROW()-1,60),ROW()-1,FALSE))</f>
        <v/>
      </c>
      <c r="BB136" t="str">
        <f ca="1">IF(AND(ISNUMBER($BB$332),$B$185=1),$BB$332,HLOOKUP(INDIRECT(ADDRESS(2,COLUMN())),OFFSET($BN$2,0,0,ROW()-1,60),ROW()-1,FALSE))</f>
        <v/>
      </c>
      <c r="BC136" t="str">
        <f ca="1">IF(AND(ISNUMBER($BC$332),$B$185=1),$BC$332,HLOOKUP(INDIRECT(ADDRESS(2,COLUMN())),OFFSET($BN$2,0,0,ROW()-1,60),ROW()-1,FALSE))</f>
        <v/>
      </c>
      <c r="BD136" t="str">
        <f ca="1">IF(AND(ISNUMBER($BD$332),$B$185=1),$BD$332,HLOOKUP(INDIRECT(ADDRESS(2,COLUMN())),OFFSET($BN$2,0,0,ROW()-1,60),ROW()-1,FALSE))</f>
        <v/>
      </c>
      <c r="BE136" t="str">
        <f ca="1">IF(AND(ISNUMBER($BE$332),$B$185=1),$BE$332,HLOOKUP(INDIRECT(ADDRESS(2,COLUMN())),OFFSET($BN$2,0,0,ROW()-1,60),ROW()-1,FALSE))</f>
        <v/>
      </c>
      <c r="BF136" t="str">
        <f ca="1">IF(AND(ISNUMBER($BF$332),$B$185=1),$BF$332,HLOOKUP(INDIRECT(ADDRESS(2,COLUMN())),OFFSET($BN$2,0,0,ROW()-1,60),ROW()-1,FALSE))</f>
        <v/>
      </c>
      <c r="BG136" t="str">
        <f ca="1">IF(AND(ISNUMBER($BG$332),$B$185=1),$BG$332,HLOOKUP(INDIRECT(ADDRESS(2,COLUMN())),OFFSET($BN$2,0,0,ROW()-1,60),ROW()-1,FALSE))</f>
        <v/>
      </c>
      <c r="BH136" t="str">
        <f ca="1">IF(AND(ISNUMBER($BH$332),$B$185=1),$BH$332,HLOOKUP(INDIRECT(ADDRESS(2,COLUMN())),OFFSET($BN$2,0,0,ROW()-1,60),ROW()-1,FALSE))</f>
        <v/>
      </c>
      <c r="BI136" t="str">
        <f ca="1">IF(AND(ISNUMBER($BI$332),$B$185=1),$BI$332,HLOOKUP(INDIRECT(ADDRESS(2,COLUMN())),OFFSET($BN$2,0,0,ROW()-1,60),ROW()-1,FALSE))</f>
        <v/>
      </c>
      <c r="BJ136" t="str">
        <f ca="1">IF(AND(ISNUMBER($BJ$332),$B$185=1),$BJ$332,HLOOKUP(INDIRECT(ADDRESS(2,COLUMN())),OFFSET($BN$2,0,0,ROW()-1,60),ROW()-1,FALSE))</f>
        <v/>
      </c>
      <c r="BK136" t="str">
        <f ca="1">IF(AND(ISNUMBER($BK$332),$B$185=1),$BK$332,HLOOKUP(INDIRECT(ADDRESS(2,COLUMN())),OFFSET($BN$2,0,0,ROW()-1,60),ROW()-1,FALSE))</f>
        <v/>
      </c>
      <c r="BL136" t="str">
        <f ca="1">IF(AND(ISNUMBER($BL$332),$B$185=1),$BL$332,HLOOKUP(INDIRECT(ADDRESS(2,COLUMN())),OFFSET($BN$2,0,0,ROW()-1,60),ROW()-1,FALSE))</f>
        <v/>
      </c>
      <c r="BM136" t="str">
        <f ca="1">IF(AND(ISNUMBER($BM$332),$B$185=1),$BM$332,HLOOKUP(INDIRECT(ADDRESS(2,COLUMN())),OFFSET($BN$2,0,0,ROW()-1,60),ROW()-1,FALSE))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>
      <c r="A137" t="str">
        <f>"    KeyCorp"</f>
        <v xml:space="preserve">    KeyCorp</v>
      </c>
      <c r="B137" t="str">
        <f>"KEY US Equity"</f>
        <v>KEY US Equity</v>
      </c>
      <c r="C137" t="str">
        <f t="shared" si="16"/>
        <v>BS965</v>
      </c>
      <c r="D137" t="str">
        <f t="shared" si="17"/>
        <v>BS_COMML_MTG_SERVICING_PORTFOLIO</v>
      </c>
      <c r="E137" t="str">
        <f t="shared" si="18"/>
        <v>Dynamic</v>
      </c>
      <c r="F137">
        <f ca="1">IF(AND(ISNUMBER($F$333),$B$185=1),$F$333,HLOOKUP(INDIRECT(ADDRESS(2,COLUMN())),OFFSET($BN$2,0,0,ROW()-1,60),ROW()-1,FALSE))</f>
        <v>557633</v>
      </c>
      <c r="G137">
        <f ca="1">IF(AND(ISNUMBER($G$333),$B$185=1),$G$333,HLOOKUP(INDIRECT(ADDRESS(2,COLUMN())),OFFSET($BN$2,0,0,ROW()-1,60),ROW()-1,FALSE))</f>
        <v>557387</v>
      </c>
      <c r="H137">
        <f ca="1">IF(AND(ISNUMBER($H$333),$B$185=1),$H$333,HLOOKUP(INDIRECT(ADDRESS(2,COLUMN())),OFFSET($BN$2,0,0,ROW()-1,60),ROW()-1,FALSE))</f>
        <v>535826</v>
      </c>
      <c r="I137">
        <f ca="1">IF(AND(ISNUMBER($I$333),$B$185=1),$I$333,HLOOKUP(INDIRECT(ADDRESS(2,COLUMN())),OFFSET($BN$2,0,0,ROW()-1,60),ROW()-1,FALSE))</f>
        <v>505152</v>
      </c>
      <c r="J137">
        <f ca="1">IF(AND(ISNUMBER($J$333),$B$185=1),$J$333,HLOOKUP(INDIRECT(ADDRESS(2,COLUMN())),OFFSET($BN$2,0,0,ROW()-1,60),ROW()-1,FALSE))</f>
        <v>499449</v>
      </c>
      <c r="K137">
        <f ca="1">IF(AND(ISNUMBER($K$333),$B$185=1),$K$333,HLOOKUP(INDIRECT(ADDRESS(2,COLUMN())),OFFSET($BN$2,0,0,ROW()-1,60),ROW()-1,FALSE))</f>
        <v>500373</v>
      </c>
      <c r="L137">
        <f ca="1">IF(AND(ISNUMBER($L$333),$B$185=1),$L$333,HLOOKUP(INDIRECT(ADDRESS(2,COLUMN())),OFFSET($BN$2,0,0,ROW()-1,60),ROW()-1,FALSE))</f>
        <v>493396</v>
      </c>
      <c r="M137">
        <f ca="1">IF(AND(ISNUMBER($M$333),$B$185=1),$M$333,HLOOKUP(INDIRECT(ADDRESS(2,COLUMN())),OFFSET($BN$2,0,0,ROW()-1,60),ROW()-1,FALSE))</f>
        <v>493865</v>
      </c>
      <c r="N137">
        <f ca="1">IF(AND(ISNUMBER($N$333),$B$185=1),$N$333,HLOOKUP(INDIRECT(ADDRESS(2,COLUMN())),OFFSET($BN$2,0,0,ROW()-1,60),ROW()-1,FALSE))</f>
        <v>488478</v>
      </c>
      <c r="O137">
        <f ca="1">IF(AND(ISNUMBER($O$333),$B$185=1),$O$333,HLOOKUP(INDIRECT(ADDRESS(2,COLUMN())),OFFSET($BN$2,0,0,ROW()-1,60),ROW()-1,FALSE))</f>
        <v>485342</v>
      </c>
      <c r="P137">
        <f ca="1">IF(AND(ISNUMBER($P$333),$B$185=1),$P$333,HLOOKUP(INDIRECT(ADDRESS(2,COLUMN())),OFFSET($BN$2,0,0,ROW()-1,60),ROW()-1,FALSE))</f>
        <v>479974</v>
      </c>
      <c r="Q137">
        <f ca="1">IF(AND(ISNUMBER($Q$333),$B$185=1),$Q$333,HLOOKUP(INDIRECT(ADDRESS(2,COLUMN())),OFFSET($BN$2,0,0,ROW()-1,60),ROW()-1,FALSE))</f>
        <v>469371</v>
      </c>
      <c r="R137">
        <f ca="1">IF(AND(ISNUMBER($R$333),$B$185=1),$R$333,HLOOKUP(INDIRECT(ADDRESS(2,COLUMN())),OFFSET($BN$2,0,0,ROW()-1,60),ROW()-1,FALSE))</f>
        <v>444131</v>
      </c>
      <c r="S137">
        <f ca="1">IF(AND(ISNUMBER($S$333),$B$185=1),$S$333,HLOOKUP(INDIRECT(ADDRESS(2,COLUMN())),OFFSET($BN$2,0,0,ROW()-1,60),ROW()-1,FALSE))</f>
        <v>422091</v>
      </c>
      <c r="T137">
        <f ca="1">IF(AND(ISNUMBER($T$333),$B$185=1),$T$333,HLOOKUP(INDIRECT(ADDRESS(2,COLUMN())),OFFSET($BN$2,0,0,ROW()-1,60),ROW()-1,FALSE))</f>
        <v>400215</v>
      </c>
      <c r="U137">
        <f ca="1">IF(AND(ISNUMBER($U$333),$B$185=1),$U$333,HLOOKUP(INDIRECT(ADDRESS(2,COLUMN())),OFFSET($BN$2,0,0,ROW()-1,60),ROW()-1,FALSE))</f>
        <v>386908</v>
      </c>
      <c r="V137">
        <f ca="1">IF(AND(ISNUMBER($V$333),$B$185=1),$V$333,HLOOKUP(INDIRECT(ADDRESS(2,COLUMN())),OFFSET($BN$2,0,0,ROW()-1,60),ROW()-1,FALSE))</f>
        <v>371016</v>
      </c>
      <c r="W137">
        <f ca="1">IF(AND(ISNUMBER($W$333),$B$185=1),$W$333,HLOOKUP(INDIRECT(ADDRESS(2,COLUMN())),OFFSET($BN$2,0,0,ROW()-1,60),ROW()-1,FALSE))</f>
        <v>380110</v>
      </c>
      <c r="X137">
        <f ca="1">IF(AND(ISNUMBER($X$333),$B$185=1),$X$333,HLOOKUP(INDIRECT(ADDRESS(2,COLUMN())),OFFSET($BN$2,0,0,ROW()-1,60),ROW()-1,FALSE))</f>
        <v>357509</v>
      </c>
      <c r="Y137" t="str">
        <f ca="1">IF(AND(ISNUMBER($Y$333),$B$185=1),$Y$333,HLOOKUP(INDIRECT(ADDRESS(2,COLUMN())),OFFSET($BN$2,0,0,ROW()-1,60),ROW()-1,FALSE))</f>
        <v/>
      </c>
      <c r="Z137">
        <f ca="1">IF(AND(ISNUMBER($Z$333),$B$185=1),$Z$333,HLOOKUP(INDIRECT(ADDRESS(2,COLUMN())),OFFSET($BN$2,0,0,ROW()-1,60),ROW()-1,FALSE))</f>
        <v>347186</v>
      </c>
      <c r="AA137">
        <f ca="1">IF(AND(ISNUMBER($AA$333),$B$185=1),$AA$333,HLOOKUP(INDIRECT(ADDRESS(2,COLUMN())),OFFSET($BN$2,0,0,ROW()-1,60),ROW()-1,FALSE))</f>
        <v>317152</v>
      </c>
      <c r="AB137">
        <f ca="1">IF(AND(ISNUMBER($AB$333),$B$185=1),$AB$333,HLOOKUP(INDIRECT(ADDRESS(2,COLUMN())),OFFSET($BN$2,0,0,ROW()-1,60),ROW()-1,FALSE))</f>
        <v>310792</v>
      </c>
      <c r="AC137">
        <f ca="1">IF(AND(ISNUMBER($AC$333),$B$185=1),$AC$333,HLOOKUP(INDIRECT(ADDRESS(2,COLUMN())),OFFSET($BN$2,0,0,ROW()-1,60),ROW()-1,FALSE))</f>
        <v>300989</v>
      </c>
      <c r="AD137">
        <f ca="1">IF(AND(ISNUMBER($AD$333),$B$185=1),$AD$333,HLOOKUP(INDIRECT(ADDRESS(2,COLUMN())),OFFSET($BN$2,0,0,ROW()-1,60),ROW()-1,FALSE))</f>
        <v>291158</v>
      </c>
      <c r="AE137">
        <f ca="1">IF(AND(ISNUMBER($AE$333),$B$185=1),$AE$333,HLOOKUP(INDIRECT(ADDRESS(2,COLUMN())),OFFSET($BN$2,0,0,ROW()-1,60),ROW()-1,FALSE))</f>
        <v>270771</v>
      </c>
      <c r="AF137">
        <f ca="1">IF(AND(ISNUMBER($AF$333),$B$185=1),$AF$333,HLOOKUP(INDIRECT(ADDRESS(2,COLUMN())),OFFSET($BN$2,0,0,ROW()-1,60),ROW()-1,FALSE))</f>
        <v>256062</v>
      </c>
      <c r="AG137">
        <f ca="1">IF(AND(ISNUMBER($AG$333),$B$185=1),$AG$333,HLOOKUP(INDIRECT(ADDRESS(2,COLUMN())),OFFSET($BN$2,0,0,ROW()-1,60),ROW()-1,FALSE))</f>
        <v>246089</v>
      </c>
      <c r="AH137">
        <f ca="1">IF(AND(ISNUMBER($AH$333),$B$185=1),$AH$333,HLOOKUP(INDIRECT(ADDRESS(2,COLUMN())),OFFSET($BN$2,0,0,ROW()-1,60),ROW()-1,FALSE))</f>
        <v>238718</v>
      </c>
      <c r="AI137">
        <f ca="1">IF(AND(ISNUMBER($AI$333),$B$185=1),$AI$333,HLOOKUP(INDIRECT(ADDRESS(2,COLUMN())),OFFSET($BN$2,0,0,ROW()-1,60),ROW()-1,FALSE))</f>
        <v>224361</v>
      </c>
      <c r="AJ137">
        <f ca="1">IF(AND(ISNUMBER($AJ$333),$B$185=1),$AJ$333,HLOOKUP(INDIRECT(ADDRESS(2,COLUMN())),OFFSET($BN$2,0,0,ROW()-1,60),ROW()-1,FALSE))</f>
        <v>218667</v>
      </c>
      <c r="AK137">
        <f ca="1">IF(AND(ISNUMBER($AK$333),$B$185=1),$AK$333,HLOOKUP(INDIRECT(ADDRESS(2,COLUMN())),OFFSET($BN$2,0,0,ROW()-1,60),ROW()-1,FALSE))</f>
        <v>218387</v>
      </c>
      <c r="AL137">
        <f ca="1">IF(AND(ISNUMBER($AL$333),$B$185=1),$AL$333,HLOOKUP(INDIRECT(ADDRESS(2,COLUMN())),OFFSET($BN$2,0,0,ROW()-1,60),ROW()-1,FALSE))</f>
        <v>218135</v>
      </c>
      <c r="AM137">
        <f ca="1">IF(AND(ISNUMBER($AM$333),$B$185=1),$AM$333,HLOOKUP(INDIRECT(ADDRESS(2,COLUMN())),OFFSET($BN$2,0,0,ROW()-1,60),ROW()-1,FALSE))</f>
        <v>213998</v>
      </c>
      <c r="AN137">
        <f ca="1">IF(AND(ISNUMBER($AN$333),$B$185=1),$AN$333,HLOOKUP(INDIRECT(ADDRESS(2,COLUMN())),OFFSET($BN$2,0,0,ROW()-1,60),ROW()-1,FALSE))</f>
        <v>213879</v>
      </c>
      <c r="AO137">
        <f ca="1">IF(AND(ISNUMBER($AO$333),$B$185=1),$AO$333,HLOOKUP(INDIRECT(ADDRESS(2,COLUMN())),OFFSET($BN$2,0,0,ROW()-1,60),ROW()-1,FALSE))</f>
        <v>214756</v>
      </c>
      <c r="AP137">
        <f ca="1">IF(AND(ISNUMBER($AP$333),$B$185=1),$AP$333,HLOOKUP(INDIRECT(ADDRESS(2,COLUMN())),OFFSET($BN$2,0,0,ROW()-1,60),ROW()-1,FALSE))</f>
        <v>211274</v>
      </c>
      <c r="AQ137">
        <f ca="1">IF(AND(ISNUMBER($AQ$333),$B$185=1),$AQ$333,HLOOKUP(INDIRECT(ADDRESS(2,COLUMN())),OFFSET($BN$2,0,0,ROW()-1,60),ROW()-1,FALSE))</f>
        <v>209410</v>
      </c>
      <c r="AR137">
        <f ca="1">IF(AND(ISNUMBER($AR$333),$B$185=1),$AR$333,HLOOKUP(INDIRECT(ADDRESS(2,COLUMN())),OFFSET($BN$2,0,0,ROW()-1,60),ROW()-1,FALSE))</f>
        <v>203315</v>
      </c>
      <c r="AS137">
        <f ca="1">IF(AND(ISNUMBER($AS$333),$B$185=1),$AS$333,HLOOKUP(INDIRECT(ADDRESS(2,COLUMN())),OFFSET($BN$2,0,0,ROW()-1,60),ROW()-1,FALSE))</f>
        <v>201397</v>
      </c>
      <c r="AT137">
        <f ca="1">IF(AND(ISNUMBER($AT$333),$B$185=1),$AT$333,HLOOKUP(INDIRECT(ADDRESS(2,COLUMN())),OFFSET($BN$2,0,0,ROW()-1,60),ROW()-1,FALSE))</f>
        <v>191407</v>
      </c>
      <c r="AU137">
        <f ca="1">IF(AND(ISNUMBER($AU$333),$B$185=1),$AU$333,HLOOKUP(INDIRECT(ADDRESS(2,COLUMN())),OFFSET($BN$2,0,0,ROW()-1,60),ROW()-1,FALSE))</f>
        <v>179293</v>
      </c>
      <c r="AV137">
        <f ca="1">IF(AND(ISNUMBER($AV$333),$B$185=1),$AV$333,HLOOKUP(INDIRECT(ADDRESS(2,COLUMN())),OFFSET($BN$2,0,0,ROW()-1,60),ROW()-1,FALSE))</f>
        <v>179194</v>
      </c>
      <c r="AW137">
        <f ca="1">IF(AND(ISNUMBER($AW$333),$B$185=1),$AW$333,HLOOKUP(INDIRECT(ADDRESS(2,COLUMN())),OFFSET($BN$2,0,0,ROW()-1,60),ROW()-1,FALSE))</f>
        <v>174601</v>
      </c>
      <c r="AX137">
        <f ca="1">IF(AND(ISNUMBER($AX$333),$B$185=1),$AX$333,HLOOKUP(INDIRECT(ADDRESS(2,COLUMN())),OFFSET($BN$2,0,0,ROW()-1,60),ROW()-1,FALSE))</f>
        <v>177731</v>
      </c>
      <c r="AY137">
        <f ca="1">IF(AND(ISNUMBER($AY$333),$B$185=1),$AY$333,HLOOKUP(INDIRECT(ADDRESS(2,COLUMN())),OFFSET($BN$2,0,0,ROW()-1,60),ROW()-1,FALSE))</f>
        <v>199464</v>
      </c>
      <c r="AZ137">
        <f ca="1">IF(AND(ISNUMBER($AZ$333),$B$185=1),$AZ$333,HLOOKUP(INDIRECT(ADDRESS(2,COLUMN())),OFFSET($BN$2,0,0,ROW()-1,60),ROW()-1,FALSE))</f>
        <v>172398</v>
      </c>
      <c r="BA137">
        <f ca="1">IF(AND(ISNUMBER($BA$333),$B$185=1),$BA$333,HLOOKUP(INDIRECT(ADDRESS(2,COLUMN())),OFFSET($BN$2,0,0,ROW()-1,60),ROW()-1,FALSE))</f>
        <v>109173</v>
      </c>
      <c r="BB137">
        <f ca="1">IF(AND(ISNUMBER($BB$333),$B$185=1),$BB$333,HLOOKUP(INDIRECT(ADDRESS(2,COLUMN())),OFFSET($BN$2,0,0,ROW()-1,60),ROW()-1,FALSE))</f>
        <v>107630</v>
      </c>
      <c r="BC137">
        <f ca="1">IF(AND(ISNUMBER($BC$333),$B$185=1),$BC$333,HLOOKUP(INDIRECT(ADDRESS(2,COLUMN())),OFFSET($BN$2,0,0,ROW()-1,60),ROW()-1,FALSE))</f>
        <v>98309</v>
      </c>
      <c r="BD137">
        <f ca="1">IF(AND(ISNUMBER($BD$333),$B$185=1),$BD$333,HLOOKUP(INDIRECT(ADDRESS(2,COLUMN())),OFFSET($BN$2,0,0,ROW()-1,60),ROW()-1,FALSE))</f>
        <v>97329</v>
      </c>
      <c r="BE137">
        <f ca="1">IF(AND(ISNUMBER($BE$333),$B$185=1),$BE$333,HLOOKUP(INDIRECT(ADDRESS(2,COLUMN())),OFFSET($BN$2,0,0,ROW()-1,60),ROW()-1,FALSE))</f>
        <v>96519</v>
      </c>
      <c r="BF137">
        <f ca="1">IF(AND(ISNUMBER($BF$333),$B$185=1),$BF$333,HLOOKUP(INDIRECT(ADDRESS(2,COLUMN())),OFFSET($BN$2,0,0,ROW()-1,60),ROW()-1,FALSE))</f>
        <v>99608</v>
      </c>
      <c r="BG137">
        <f ca="1">IF(AND(ISNUMBER($BG$333),$B$185=1),$BG$333,HLOOKUP(INDIRECT(ADDRESS(2,COLUMN())),OFFSET($BN$2,0,0,ROW()-1,60),ROW()-1,FALSE))</f>
        <v>102734</v>
      </c>
      <c r="BH137">
        <f ca="1">IF(AND(ISNUMBER($BH$333),$B$185=1),$BH$333,HLOOKUP(INDIRECT(ADDRESS(2,COLUMN())),OFFSET($BN$2,0,0,ROW()-1,60),ROW()-1,FALSE))</f>
        <v>107077</v>
      </c>
      <c r="BI137">
        <f ca="1">IF(AND(ISNUMBER($BI$333),$B$185=1),$BI$333,HLOOKUP(INDIRECT(ADDRESS(2,COLUMN())),OFFSET($BN$2,0,0,ROW()-1,60),ROW()-1,FALSE))</f>
        <v>115369</v>
      </c>
      <c r="BJ137">
        <f ca="1">IF(AND(ISNUMBER($BJ$333),$B$185=1),$BJ$333,HLOOKUP(INDIRECT(ADDRESS(2,COLUMN())),OFFSET($BN$2,0,0,ROW()-1,60),ROW()-1,FALSE))</f>
        <v>117071</v>
      </c>
      <c r="BK137">
        <f ca="1">IF(AND(ISNUMBER($BK$333),$B$185=1),$BK$333,HLOOKUP(INDIRECT(ADDRESS(2,COLUMN())),OFFSET($BN$2,0,0,ROW()-1,60),ROW()-1,FALSE))</f>
        <v>119294</v>
      </c>
      <c r="BL137">
        <f ca="1">IF(AND(ISNUMBER($BL$333),$B$185=1),$BL$333,HLOOKUP(INDIRECT(ADDRESS(2,COLUMN())),OFFSET($BN$2,0,0,ROW()-1,60),ROW()-1,FALSE))</f>
        <v>120495</v>
      </c>
      <c r="BM137" t="str">
        <f ca="1">IF(AND(ISNUMBER($BM$333),$B$185=1),$BM$333,HLOOKUP(INDIRECT(ADDRESS(2,COLUMN())),OFFSET($BN$2,0,0,ROW()-1,60),ROW()-1,FALSE))</f>
        <v/>
      </c>
      <c r="BN137">
        <f>557633</f>
        <v>557633</v>
      </c>
      <c r="BO137">
        <f>557387</f>
        <v>557387</v>
      </c>
      <c r="BP137">
        <f>535826</f>
        <v>535826</v>
      </c>
      <c r="BQ137">
        <f>505152</f>
        <v>505152</v>
      </c>
      <c r="BR137">
        <f>499449</f>
        <v>499449</v>
      </c>
      <c r="BS137">
        <f>500373</f>
        <v>500373</v>
      </c>
      <c r="BT137">
        <f>493396</f>
        <v>493396</v>
      </c>
      <c r="BU137">
        <f>493865</f>
        <v>493865</v>
      </c>
      <c r="BV137">
        <f>488478</f>
        <v>488478</v>
      </c>
      <c r="BW137">
        <f>485342</f>
        <v>485342</v>
      </c>
      <c r="BX137">
        <f>479974</f>
        <v>479974</v>
      </c>
      <c r="BY137">
        <f>469371</f>
        <v>469371</v>
      </c>
      <c r="BZ137">
        <f>444131</f>
        <v>444131</v>
      </c>
      <c r="CA137">
        <f>422091</f>
        <v>422091</v>
      </c>
      <c r="CB137">
        <f>400215</f>
        <v>400215</v>
      </c>
      <c r="CC137">
        <f>386908</f>
        <v>386908</v>
      </c>
      <c r="CD137">
        <f>371016</f>
        <v>371016</v>
      </c>
      <c r="CE137">
        <f>380110</f>
        <v>380110</v>
      </c>
      <c r="CF137">
        <f>357509</f>
        <v>357509</v>
      </c>
      <c r="CG137" t="str">
        <f>""</f>
        <v/>
      </c>
      <c r="CH137">
        <f>347186</f>
        <v>347186</v>
      </c>
      <c r="CI137">
        <f>317152</f>
        <v>317152</v>
      </c>
      <c r="CJ137">
        <f>310792</f>
        <v>310792</v>
      </c>
      <c r="CK137">
        <f>300989</f>
        <v>300989</v>
      </c>
      <c r="CL137">
        <f>291158</f>
        <v>291158</v>
      </c>
      <c r="CM137">
        <f>270771</f>
        <v>270771</v>
      </c>
      <c r="CN137">
        <f>256062</f>
        <v>256062</v>
      </c>
      <c r="CO137">
        <f>246089</f>
        <v>246089</v>
      </c>
      <c r="CP137">
        <f>238718</f>
        <v>238718</v>
      </c>
      <c r="CQ137">
        <f>224361</f>
        <v>224361</v>
      </c>
      <c r="CR137">
        <f>218667</f>
        <v>218667</v>
      </c>
      <c r="CS137">
        <f>218387</f>
        <v>218387</v>
      </c>
      <c r="CT137">
        <f>218135</f>
        <v>218135</v>
      </c>
      <c r="CU137">
        <f>213998</f>
        <v>213998</v>
      </c>
      <c r="CV137">
        <f>213879</f>
        <v>213879</v>
      </c>
      <c r="CW137">
        <f>214756</f>
        <v>214756</v>
      </c>
      <c r="CX137">
        <f>211274</f>
        <v>211274</v>
      </c>
      <c r="CY137">
        <f>209410</f>
        <v>209410</v>
      </c>
      <c r="CZ137">
        <f>203315</f>
        <v>203315</v>
      </c>
      <c r="DA137">
        <f>201397</f>
        <v>201397</v>
      </c>
      <c r="DB137">
        <f>191407</f>
        <v>191407</v>
      </c>
      <c r="DC137">
        <f>179293</f>
        <v>179293</v>
      </c>
      <c r="DD137">
        <f>179194</f>
        <v>179194</v>
      </c>
      <c r="DE137">
        <f>174601</f>
        <v>174601</v>
      </c>
      <c r="DF137">
        <f>177731</f>
        <v>177731</v>
      </c>
      <c r="DG137">
        <f>199464</f>
        <v>199464</v>
      </c>
      <c r="DH137">
        <f>172398</f>
        <v>172398</v>
      </c>
      <c r="DI137">
        <f>109173</f>
        <v>109173</v>
      </c>
      <c r="DJ137">
        <f>107630</f>
        <v>107630</v>
      </c>
      <c r="DK137">
        <f>98309</f>
        <v>98309</v>
      </c>
      <c r="DL137">
        <f>97329</f>
        <v>97329</v>
      </c>
      <c r="DM137">
        <f>96519</f>
        <v>96519</v>
      </c>
      <c r="DN137">
        <f>99608</f>
        <v>99608</v>
      </c>
      <c r="DO137">
        <f>102734</f>
        <v>102734</v>
      </c>
      <c r="DP137">
        <f>107077</f>
        <v>107077</v>
      </c>
      <c r="DQ137">
        <f>115369</f>
        <v>115369</v>
      </c>
      <c r="DR137">
        <f>117071</f>
        <v>117071</v>
      </c>
      <c r="DS137">
        <f>119294</f>
        <v>119294</v>
      </c>
      <c r="DT137">
        <f>120495</f>
        <v>120495</v>
      </c>
      <c r="DU137" t="str">
        <f>""</f>
        <v/>
      </c>
    </row>
    <row r="138" spans="1:125">
      <c r="A138" t="str">
        <f>"    M&amp;T Bank Corp"</f>
        <v xml:space="preserve">    M&amp;T Bank Corp</v>
      </c>
      <c r="B138" t="str">
        <f>"MTB US Equity"</f>
        <v>MTB US Equity</v>
      </c>
      <c r="C138" t="str">
        <f t="shared" si="16"/>
        <v>BS965</v>
      </c>
      <c r="D138" t="str">
        <f t="shared" si="17"/>
        <v>BS_COMML_MTG_SERVICING_PORTFOLIO</v>
      </c>
      <c r="E138" t="str">
        <f t="shared" si="18"/>
        <v>Dynamic</v>
      </c>
      <c r="F138" t="str">
        <f ca="1">IF(AND(ISNUMBER($F$334),$B$185=1),$F$334,HLOOKUP(INDIRECT(ADDRESS(2,COLUMN())),OFFSET($BN$2,0,0,ROW()-1,60),ROW()-1,FALSE))</f>
        <v/>
      </c>
      <c r="G138" t="str">
        <f ca="1">IF(AND(ISNUMBER($G$334),$B$185=1),$G$334,HLOOKUP(INDIRECT(ADDRESS(2,COLUMN())),OFFSET($BN$2,0,0,ROW()-1,60),ROW()-1,FALSE))</f>
        <v/>
      </c>
      <c r="H138" t="str">
        <f ca="1">IF(AND(ISNUMBER($H$334),$B$185=1),$H$334,HLOOKUP(INDIRECT(ADDRESS(2,COLUMN())),OFFSET($BN$2,0,0,ROW()-1,60),ROW()-1,FALSE))</f>
        <v/>
      </c>
      <c r="I138" t="str">
        <f ca="1">IF(AND(ISNUMBER($I$334),$B$185=1),$I$334,HLOOKUP(INDIRECT(ADDRESS(2,COLUMN())),OFFSET($BN$2,0,0,ROW()-1,60),ROW()-1,FALSE))</f>
        <v/>
      </c>
      <c r="J138" t="str">
        <f ca="1">IF(AND(ISNUMBER($J$334),$B$185=1),$J$334,HLOOKUP(INDIRECT(ADDRESS(2,COLUMN())),OFFSET($BN$2,0,0,ROW()-1,60),ROW()-1,FALSE))</f>
        <v/>
      </c>
      <c r="K138" t="str">
        <f ca="1">IF(AND(ISNUMBER($K$334),$B$185=1),$K$334,HLOOKUP(INDIRECT(ADDRESS(2,COLUMN())),OFFSET($BN$2,0,0,ROW()-1,60),ROW()-1,FALSE))</f>
        <v/>
      </c>
      <c r="L138" t="str">
        <f ca="1">IF(AND(ISNUMBER($L$334),$B$185=1),$L$334,HLOOKUP(INDIRECT(ADDRESS(2,COLUMN())),OFFSET($BN$2,0,0,ROW()-1,60),ROW()-1,FALSE))</f>
        <v/>
      </c>
      <c r="M138" t="str">
        <f ca="1">IF(AND(ISNUMBER($M$334),$B$185=1),$M$334,HLOOKUP(INDIRECT(ADDRESS(2,COLUMN())),OFFSET($BN$2,0,0,ROW()-1,60),ROW()-1,FALSE))</f>
        <v/>
      </c>
      <c r="N138" t="str">
        <f ca="1">IF(AND(ISNUMBER($N$334),$B$185=1),$N$334,HLOOKUP(INDIRECT(ADDRESS(2,COLUMN())),OFFSET($BN$2,0,0,ROW()-1,60),ROW()-1,FALSE))</f>
        <v/>
      </c>
      <c r="O138" t="str">
        <f ca="1">IF(AND(ISNUMBER($O$334),$B$185=1),$O$334,HLOOKUP(INDIRECT(ADDRESS(2,COLUMN())),OFFSET($BN$2,0,0,ROW()-1,60),ROW()-1,FALSE))</f>
        <v/>
      </c>
      <c r="P138" t="str">
        <f ca="1">IF(AND(ISNUMBER($P$334),$B$185=1),$P$334,HLOOKUP(INDIRECT(ADDRESS(2,COLUMN())),OFFSET($BN$2,0,0,ROW()-1,60),ROW()-1,FALSE))</f>
        <v/>
      </c>
      <c r="Q138" t="str">
        <f ca="1">IF(AND(ISNUMBER($Q$334),$B$185=1),$Q$334,HLOOKUP(INDIRECT(ADDRESS(2,COLUMN())),OFFSET($BN$2,0,0,ROW()-1,60),ROW()-1,FALSE))</f>
        <v/>
      </c>
      <c r="R138" t="str">
        <f ca="1">IF(AND(ISNUMBER($R$334),$B$185=1),$R$334,HLOOKUP(INDIRECT(ADDRESS(2,COLUMN())),OFFSET($BN$2,0,0,ROW()-1,60),ROW()-1,FALSE))</f>
        <v/>
      </c>
      <c r="S138" t="str">
        <f ca="1">IF(AND(ISNUMBER($S$334),$B$185=1),$S$334,HLOOKUP(INDIRECT(ADDRESS(2,COLUMN())),OFFSET($BN$2,0,0,ROW()-1,60),ROW()-1,FALSE))</f>
        <v/>
      </c>
      <c r="T138" t="str">
        <f ca="1">IF(AND(ISNUMBER($T$334),$B$185=1),$T$334,HLOOKUP(INDIRECT(ADDRESS(2,COLUMN())),OFFSET($BN$2,0,0,ROW()-1,60),ROW()-1,FALSE))</f>
        <v/>
      </c>
      <c r="U138" t="str">
        <f ca="1">IF(AND(ISNUMBER($U$334),$B$185=1),$U$334,HLOOKUP(INDIRECT(ADDRESS(2,COLUMN())),OFFSET($BN$2,0,0,ROW()-1,60),ROW()-1,FALSE))</f>
        <v/>
      </c>
      <c r="V138" t="str">
        <f ca="1">IF(AND(ISNUMBER($V$334),$B$185=1),$V$334,HLOOKUP(INDIRECT(ADDRESS(2,COLUMN())),OFFSET($BN$2,0,0,ROW()-1,60),ROW()-1,FALSE))</f>
        <v/>
      </c>
      <c r="W138" t="str">
        <f ca="1">IF(AND(ISNUMBER($W$334),$B$185=1),$W$334,HLOOKUP(INDIRECT(ADDRESS(2,COLUMN())),OFFSET($BN$2,0,0,ROW()-1,60),ROW()-1,FALSE))</f>
        <v/>
      </c>
      <c r="X138" t="str">
        <f ca="1">IF(AND(ISNUMBER($X$334),$B$185=1),$X$334,HLOOKUP(INDIRECT(ADDRESS(2,COLUMN())),OFFSET($BN$2,0,0,ROW()-1,60),ROW()-1,FALSE))</f>
        <v/>
      </c>
      <c r="Y138" t="str">
        <f ca="1">IF(AND(ISNUMBER($Y$334),$B$185=1),$Y$334,HLOOKUP(INDIRECT(ADDRESS(2,COLUMN())),OFFSET($BN$2,0,0,ROW()-1,60),ROW()-1,FALSE))</f>
        <v/>
      </c>
      <c r="Z138" t="str">
        <f ca="1">IF(AND(ISNUMBER($Z$334),$B$185=1),$Z$334,HLOOKUP(INDIRECT(ADDRESS(2,COLUMN())),OFFSET($BN$2,0,0,ROW()-1,60),ROW()-1,FALSE))</f>
        <v/>
      </c>
      <c r="AA138" t="str">
        <f ca="1">IF(AND(ISNUMBER($AA$334),$B$185=1),$AA$334,HLOOKUP(INDIRECT(ADDRESS(2,COLUMN())),OFFSET($BN$2,0,0,ROW()-1,60),ROW()-1,FALSE))</f>
        <v/>
      </c>
      <c r="AB138" t="str">
        <f ca="1">IF(AND(ISNUMBER($AB$334),$B$185=1),$AB$334,HLOOKUP(INDIRECT(ADDRESS(2,COLUMN())),OFFSET($BN$2,0,0,ROW()-1,60),ROW()-1,FALSE))</f>
        <v/>
      </c>
      <c r="AC138" t="str">
        <f ca="1">IF(AND(ISNUMBER($AC$334),$B$185=1),$AC$334,HLOOKUP(INDIRECT(ADDRESS(2,COLUMN())),OFFSET($BN$2,0,0,ROW()-1,60),ROW()-1,FALSE))</f>
        <v/>
      </c>
      <c r="AD138" t="str">
        <f ca="1">IF(AND(ISNUMBER($AD$334),$B$185=1),$AD$334,HLOOKUP(INDIRECT(ADDRESS(2,COLUMN())),OFFSET($BN$2,0,0,ROW()-1,60),ROW()-1,FALSE))</f>
        <v/>
      </c>
      <c r="AE138" t="str">
        <f ca="1">IF(AND(ISNUMBER($AE$334),$B$185=1),$AE$334,HLOOKUP(INDIRECT(ADDRESS(2,COLUMN())),OFFSET($BN$2,0,0,ROW()-1,60),ROW()-1,FALSE))</f>
        <v/>
      </c>
      <c r="AF138" t="str">
        <f ca="1">IF(AND(ISNUMBER($AF$334),$B$185=1),$AF$334,HLOOKUP(INDIRECT(ADDRESS(2,COLUMN())),OFFSET($BN$2,0,0,ROW()-1,60),ROW()-1,FALSE))</f>
        <v/>
      </c>
      <c r="AG138" t="str">
        <f ca="1">IF(AND(ISNUMBER($AG$334),$B$185=1),$AG$334,HLOOKUP(INDIRECT(ADDRESS(2,COLUMN())),OFFSET($BN$2,0,0,ROW()-1,60),ROW()-1,FALSE))</f>
        <v/>
      </c>
      <c r="AH138" t="str">
        <f ca="1">IF(AND(ISNUMBER($AH$334),$B$185=1),$AH$334,HLOOKUP(INDIRECT(ADDRESS(2,COLUMN())),OFFSET($BN$2,0,0,ROW()-1,60),ROW()-1,FALSE))</f>
        <v/>
      </c>
      <c r="AI138" t="str">
        <f ca="1">IF(AND(ISNUMBER($AI$334),$B$185=1),$AI$334,HLOOKUP(INDIRECT(ADDRESS(2,COLUMN())),OFFSET($BN$2,0,0,ROW()-1,60),ROW()-1,FALSE))</f>
        <v/>
      </c>
      <c r="AJ138" t="str">
        <f ca="1">IF(AND(ISNUMBER($AJ$334),$B$185=1),$AJ$334,HLOOKUP(INDIRECT(ADDRESS(2,COLUMN())),OFFSET($BN$2,0,0,ROW()-1,60),ROW()-1,FALSE))</f>
        <v/>
      </c>
      <c r="AK138" t="str">
        <f ca="1">IF(AND(ISNUMBER($AK$334),$B$185=1),$AK$334,HLOOKUP(INDIRECT(ADDRESS(2,COLUMN())),OFFSET($BN$2,0,0,ROW()-1,60),ROW()-1,FALSE))</f>
        <v/>
      </c>
      <c r="AL138" t="str">
        <f ca="1">IF(AND(ISNUMBER($AL$334),$B$185=1),$AL$334,HLOOKUP(INDIRECT(ADDRESS(2,COLUMN())),OFFSET($BN$2,0,0,ROW()-1,60),ROW()-1,FALSE))</f>
        <v/>
      </c>
      <c r="AM138" t="str">
        <f ca="1">IF(AND(ISNUMBER($AM$334),$B$185=1),$AM$334,HLOOKUP(INDIRECT(ADDRESS(2,COLUMN())),OFFSET($BN$2,0,0,ROW()-1,60),ROW()-1,FALSE))</f>
        <v/>
      </c>
      <c r="AN138" t="str">
        <f ca="1">IF(AND(ISNUMBER($AN$334),$B$185=1),$AN$334,HLOOKUP(INDIRECT(ADDRESS(2,COLUMN())),OFFSET($BN$2,0,0,ROW()-1,60),ROW()-1,FALSE))</f>
        <v/>
      </c>
      <c r="AO138" t="str">
        <f ca="1">IF(AND(ISNUMBER($AO$334),$B$185=1),$AO$334,HLOOKUP(INDIRECT(ADDRESS(2,COLUMN())),OFFSET($BN$2,0,0,ROW()-1,60),ROW()-1,FALSE))</f>
        <v/>
      </c>
      <c r="AP138" t="str">
        <f ca="1">IF(AND(ISNUMBER($AP$334),$B$185=1),$AP$334,HLOOKUP(INDIRECT(ADDRESS(2,COLUMN())),OFFSET($BN$2,0,0,ROW()-1,60),ROW()-1,FALSE))</f>
        <v/>
      </c>
      <c r="AQ138" t="str">
        <f ca="1">IF(AND(ISNUMBER($AQ$334),$B$185=1),$AQ$334,HLOOKUP(INDIRECT(ADDRESS(2,COLUMN())),OFFSET($BN$2,0,0,ROW()-1,60),ROW()-1,FALSE))</f>
        <v/>
      </c>
      <c r="AR138" t="str">
        <f ca="1">IF(AND(ISNUMBER($AR$334),$B$185=1),$AR$334,HLOOKUP(INDIRECT(ADDRESS(2,COLUMN())),OFFSET($BN$2,0,0,ROW()-1,60),ROW()-1,FALSE))</f>
        <v/>
      </c>
      <c r="AS138" t="str">
        <f ca="1">IF(AND(ISNUMBER($AS$334),$B$185=1),$AS$334,HLOOKUP(INDIRECT(ADDRESS(2,COLUMN())),OFFSET($BN$2,0,0,ROW()-1,60),ROW()-1,FALSE))</f>
        <v/>
      </c>
      <c r="AT138" t="str">
        <f ca="1">IF(AND(ISNUMBER($AT$334),$B$185=1),$AT$334,HLOOKUP(INDIRECT(ADDRESS(2,COLUMN())),OFFSET($BN$2,0,0,ROW()-1,60),ROW()-1,FALSE))</f>
        <v/>
      </c>
      <c r="AU138" t="str">
        <f ca="1">IF(AND(ISNUMBER($AU$334),$B$185=1),$AU$334,HLOOKUP(INDIRECT(ADDRESS(2,COLUMN())),OFFSET($BN$2,0,0,ROW()-1,60),ROW()-1,FALSE))</f>
        <v/>
      </c>
      <c r="AV138" t="str">
        <f ca="1">IF(AND(ISNUMBER($AV$334),$B$185=1),$AV$334,HLOOKUP(INDIRECT(ADDRESS(2,COLUMN())),OFFSET($BN$2,0,0,ROW()-1,60),ROW()-1,FALSE))</f>
        <v/>
      </c>
      <c r="AW138" t="str">
        <f ca="1">IF(AND(ISNUMBER($AW$334),$B$185=1),$AW$334,HLOOKUP(INDIRECT(ADDRESS(2,COLUMN())),OFFSET($BN$2,0,0,ROW()-1,60),ROW()-1,FALSE))</f>
        <v/>
      </c>
      <c r="AX138" t="str">
        <f ca="1">IF(AND(ISNUMBER($AX$334),$B$185=1),$AX$334,HLOOKUP(INDIRECT(ADDRESS(2,COLUMN())),OFFSET($BN$2,0,0,ROW()-1,60),ROW()-1,FALSE))</f>
        <v/>
      </c>
      <c r="AY138" t="str">
        <f ca="1">IF(AND(ISNUMBER($AY$334),$B$185=1),$AY$334,HLOOKUP(INDIRECT(ADDRESS(2,COLUMN())),OFFSET($BN$2,0,0,ROW()-1,60),ROW()-1,FALSE))</f>
        <v/>
      </c>
      <c r="AZ138" t="str">
        <f ca="1">IF(AND(ISNUMBER($AZ$334),$B$185=1),$AZ$334,HLOOKUP(INDIRECT(ADDRESS(2,COLUMN())),OFFSET($BN$2,0,0,ROW()-1,60),ROW()-1,FALSE))</f>
        <v/>
      </c>
      <c r="BA138" t="str">
        <f ca="1">IF(AND(ISNUMBER($BA$334),$B$185=1),$BA$334,HLOOKUP(INDIRECT(ADDRESS(2,COLUMN())),OFFSET($BN$2,0,0,ROW()-1,60),ROW()-1,FALSE))</f>
        <v/>
      </c>
      <c r="BB138" t="str">
        <f ca="1">IF(AND(ISNUMBER($BB$334),$B$185=1),$BB$334,HLOOKUP(INDIRECT(ADDRESS(2,COLUMN())),OFFSET($BN$2,0,0,ROW()-1,60),ROW()-1,FALSE))</f>
        <v/>
      </c>
      <c r="BC138" t="str">
        <f ca="1">IF(AND(ISNUMBER($BC$334),$B$185=1),$BC$334,HLOOKUP(INDIRECT(ADDRESS(2,COLUMN())),OFFSET($BN$2,0,0,ROW()-1,60),ROW()-1,FALSE))</f>
        <v/>
      </c>
      <c r="BD138" t="str">
        <f ca="1">IF(AND(ISNUMBER($BD$334),$B$185=1),$BD$334,HLOOKUP(INDIRECT(ADDRESS(2,COLUMN())),OFFSET($BN$2,0,0,ROW()-1,60),ROW()-1,FALSE))</f>
        <v/>
      </c>
      <c r="BE138" t="str">
        <f ca="1">IF(AND(ISNUMBER($BE$334),$B$185=1),$BE$334,HLOOKUP(INDIRECT(ADDRESS(2,COLUMN())),OFFSET($BN$2,0,0,ROW()-1,60),ROW()-1,FALSE))</f>
        <v/>
      </c>
      <c r="BF138" t="str">
        <f ca="1">IF(AND(ISNUMBER($BF$334),$B$185=1),$BF$334,HLOOKUP(INDIRECT(ADDRESS(2,COLUMN())),OFFSET($BN$2,0,0,ROW()-1,60),ROW()-1,FALSE))</f>
        <v/>
      </c>
      <c r="BG138" t="str">
        <f ca="1">IF(AND(ISNUMBER($BG$334),$B$185=1),$BG$334,HLOOKUP(INDIRECT(ADDRESS(2,COLUMN())),OFFSET($BN$2,0,0,ROW()-1,60),ROW()-1,FALSE))</f>
        <v/>
      </c>
      <c r="BH138" t="str">
        <f ca="1">IF(AND(ISNUMBER($BH$334),$B$185=1),$BH$334,HLOOKUP(INDIRECT(ADDRESS(2,COLUMN())),OFFSET($BN$2,0,0,ROW()-1,60),ROW()-1,FALSE))</f>
        <v/>
      </c>
      <c r="BI138" t="str">
        <f ca="1">IF(AND(ISNUMBER($BI$334),$B$185=1),$BI$334,HLOOKUP(INDIRECT(ADDRESS(2,COLUMN())),OFFSET($BN$2,0,0,ROW()-1,60),ROW()-1,FALSE))</f>
        <v/>
      </c>
      <c r="BJ138" t="str">
        <f ca="1">IF(AND(ISNUMBER($BJ$334),$B$185=1),$BJ$334,HLOOKUP(INDIRECT(ADDRESS(2,COLUMN())),OFFSET($BN$2,0,0,ROW()-1,60),ROW()-1,FALSE))</f>
        <v/>
      </c>
      <c r="BK138" t="str">
        <f ca="1">IF(AND(ISNUMBER($BK$334),$B$185=1),$BK$334,HLOOKUP(INDIRECT(ADDRESS(2,COLUMN())),OFFSET($BN$2,0,0,ROW()-1,60),ROW()-1,FALSE))</f>
        <v/>
      </c>
      <c r="BL138" t="str">
        <f ca="1">IF(AND(ISNUMBER($BL$334),$B$185=1),$BL$334,HLOOKUP(INDIRECT(ADDRESS(2,COLUMN())),OFFSET($BN$2,0,0,ROW()-1,60),ROW()-1,FALSE))</f>
        <v/>
      </c>
      <c r="BM138" t="str">
        <f ca="1">IF(AND(ISNUMBER($BM$334),$B$185=1),$BM$334,HLOOKUP(INDIRECT(ADDRESS(2,COLUMN())),OFFSET($BN$2,0,0,ROW()-1,60),ROW()-1,FALSE))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  <c r="BT138" t="str">
        <f>""</f>
        <v/>
      </c>
      <c r="BU138" t="str">
        <f>""</f>
        <v/>
      </c>
      <c r="BV138" t="str">
        <f>""</f>
        <v/>
      </c>
      <c r="BW138" t="str">
        <f>""</f>
        <v/>
      </c>
      <c r="BX138" t="str">
        <f>""</f>
        <v/>
      </c>
      <c r="BY138" t="str">
        <f>""</f>
        <v/>
      </c>
      <c r="BZ138" t="str">
        <f>""</f>
        <v/>
      </c>
      <c r="CA138" t="str">
        <f>""</f>
        <v/>
      </c>
      <c r="CB138" t="str">
        <f>""</f>
        <v/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  <c r="CI138" t="str">
        <f>""</f>
        <v/>
      </c>
      <c r="CJ138" t="str">
        <f>""</f>
        <v/>
      </c>
      <c r="CK138" t="str">
        <f>""</f>
        <v/>
      </c>
      <c r="CL138" t="str">
        <f>""</f>
        <v/>
      </c>
      <c r="CM138" t="str">
        <f>""</f>
        <v/>
      </c>
      <c r="CN138" t="str">
        <f>""</f>
        <v/>
      </c>
      <c r="CO138" t="str">
        <f>""</f>
        <v/>
      </c>
      <c r="CP138" t="str">
        <f>""</f>
        <v/>
      </c>
      <c r="CQ138" t="str">
        <f>""</f>
        <v/>
      </c>
      <c r="CR138" t="str">
        <f>""</f>
        <v/>
      </c>
      <c r="CS138" t="str">
        <f>""</f>
        <v/>
      </c>
      <c r="CT138" t="str">
        <f>""</f>
        <v/>
      </c>
      <c r="CU138" t="str">
        <f>""</f>
        <v/>
      </c>
      <c r="CV138" t="str">
        <f>""</f>
        <v/>
      </c>
      <c r="CW138" t="str">
        <f>""</f>
        <v/>
      </c>
      <c r="CX138" t="str">
        <f>""</f>
        <v/>
      </c>
      <c r="CY138" t="str">
        <f>""</f>
        <v/>
      </c>
      <c r="CZ138" t="str">
        <f>""</f>
        <v/>
      </c>
      <c r="DA138" t="str">
        <f>""</f>
        <v/>
      </c>
      <c r="DB138" t="str">
        <f>""</f>
        <v/>
      </c>
      <c r="DC138" t="str">
        <f>""</f>
        <v/>
      </c>
      <c r="DD138" t="str">
        <f>""</f>
        <v/>
      </c>
      <c r="DE138" t="str">
        <f>""</f>
        <v/>
      </c>
      <c r="DF138" t="str">
        <f>""</f>
        <v/>
      </c>
      <c r="DG138" t="str">
        <f>""</f>
        <v/>
      </c>
      <c r="DH138" t="str">
        <f>""</f>
        <v/>
      </c>
      <c r="DI138" t="str">
        <f>""</f>
        <v/>
      </c>
      <c r="DJ138" t="str">
        <f>""</f>
        <v/>
      </c>
      <c r="DK138" t="str">
        <f>""</f>
        <v/>
      </c>
      <c r="DL138" t="str">
        <f>""</f>
        <v/>
      </c>
      <c r="DM138" t="str">
        <f>""</f>
        <v/>
      </c>
      <c r="DN138" t="str">
        <f>""</f>
        <v/>
      </c>
      <c r="DO138" t="str">
        <f>""</f>
        <v/>
      </c>
      <c r="DP138" t="str">
        <f>""</f>
        <v/>
      </c>
      <c r="DQ138" t="str">
        <f>""</f>
        <v/>
      </c>
      <c r="DR138" t="str">
        <f>""</f>
        <v/>
      </c>
      <c r="DS138" t="str">
        <f>""</f>
        <v/>
      </c>
      <c r="DT138" t="str">
        <f>""</f>
        <v/>
      </c>
      <c r="DU138" t="str">
        <f>""</f>
        <v/>
      </c>
    </row>
    <row r="139" spans="1:125">
      <c r="A139" t="str">
        <f>"    PNC Financial Services Group I"</f>
        <v xml:space="preserve">    PNC Financial Services Group I</v>
      </c>
      <c r="B139" t="str">
        <f>"PNC US Equity"</f>
        <v>PNC US Equity</v>
      </c>
      <c r="C139" t="str">
        <f t="shared" si="16"/>
        <v>BS965</v>
      </c>
      <c r="D139" t="str">
        <f t="shared" si="17"/>
        <v>BS_COMML_MTG_SERVICING_PORTFOLIO</v>
      </c>
      <c r="E139" t="str">
        <f t="shared" si="18"/>
        <v>Dynamic</v>
      </c>
      <c r="F139" t="str">
        <f ca="1">IF(AND(ISNUMBER($F$335),$B$185=1),$F$335,HLOOKUP(INDIRECT(ADDRESS(2,COLUMN())),OFFSET($BN$2,0,0,ROW()-1,60),ROW()-1,FALSE))</f>
        <v/>
      </c>
      <c r="G139" t="str">
        <f ca="1">IF(AND(ISNUMBER($G$335),$B$185=1),$G$335,HLOOKUP(INDIRECT(ADDRESS(2,COLUMN())),OFFSET($BN$2,0,0,ROW()-1,60),ROW()-1,FALSE))</f>
        <v/>
      </c>
      <c r="H139" t="str">
        <f ca="1">IF(AND(ISNUMBER($H$335),$B$185=1),$H$335,HLOOKUP(INDIRECT(ADDRESS(2,COLUMN())),OFFSET($BN$2,0,0,ROW()-1,60),ROW()-1,FALSE))</f>
        <v/>
      </c>
      <c r="I139" t="str">
        <f ca="1">IF(AND(ISNUMBER($I$335),$B$185=1),$I$335,HLOOKUP(INDIRECT(ADDRESS(2,COLUMN())),OFFSET($BN$2,0,0,ROW()-1,60),ROW()-1,FALSE))</f>
        <v/>
      </c>
      <c r="J139" t="str">
        <f ca="1">IF(AND(ISNUMBER($J$335),$B$185=1),$J$335,HLOOKUP(INDIRECT(ADDRESS(2,COLUMN())),OFFSET($BN$2,0,0,ROW()-1,60),ROW()-1,FALSE))</f>
        <v/>
      </c>
      <c r="K139" t="str">
        <f ca="1">IF(AND(ISNUMBER($K$335),$B$185=1),$K$335,HLOOKUP(INDIRECT(ADDRESS(2,COLUMN())),OFFSET($BN$2,0,0,ROW()-1,60),ROW()-1,FALSE))</f>
        <v/>
      </c>
      <c r="L139" t="str">
        <f ca="1">IF(AND(ISNUMBER($L$335),$B$185=1),$L$335,HLOOKUP(INDIRECT(ADDRESS(2,COLUMN())),OFFSET($BN$2,0,0,ROW()-1,60),ROW()-1,FALSE))</f>
        <v/>
      </c>
      <c r="M139" t="str">
        <f ca="1">IF(AND(ISNUMBER($M$335),$B$185=1),$M$335,HLOOKUP(INDIRECT(ADDRESS(2,COLUMN())),OFFSET($BN$2,0,0,ROW()-1,60),ROW()-1,FALSE))</f>
        <v/>
      </c>
      <c r="N139" t="str">
        <f ca="1">IF(AND(ISNUMBER($N$335),$B$185=1),$N$335,HLOOKUP(INDIRECT(ADDRESS(2,COLUMN())),OFFSET($BN$2,0,0,ROW()-1,60),ROW()-1,FALSE))</f>
        <v/>
      </c>
      <c r="O139" t="str">
        <f ca="1">IF(AND(ISNUMBER($O$335),$B$185=1),$O$335,HLOOKUP(INDIRECT(ADDRESS(2,COLUMN())),OFFSET($BN$2,0,0,ROW()-1,60),ROW()-1,FALSE))</f>
        <v/>
      </c>
      <c r="P139" t="str">
        <f ca="1">IF(AND(ISNUMBER($P$335),$B$185=1),$P$335,HLOOKUP(INDIRECT(ADDRESS(2,COLUMN())),OFFSET($BN$2,0,0,ROW()-1,60),ROW()-1,FALSE))</f>
        <v/>
      </c>
      <c r="Q139" t="str">
        <f ca="1">IF(AND(ISNUMBER($Q$335),$B$185=1),$Q$335,HLOOKUP(INDIRECT(ADDRESS(2,COLUMN())),OFFSET($BN$2,0,0,ROW()-1,60),ROW()-1,FALSE))</f>
        <v/>
      </c>
      <c r="R139" t="str">
        <f ca="1">IF(AND(ISNUMBER($R$335),$B$185=1),$R$335,HLOOKUP(INDIRECT(ADDRESS(2,COLUMN())),OFFSET($BN$2,0,0,ROW()-1,60),ROW()-1,FALSE))</f>
        <v/>
      </c>
      <c r="S139" t="str">
        <f ca="1">IF(AND(ISNUMBER($S$335),$B$185=1),$S$335,HLOOKUP(INDIRECT(ADDRESS(2,COLUMN())),OFFSET($BN$2,0,0,ROW()-1,60),ROW()-1,FALSE))</f>
        <v/>
      </c>
      <c r="T139" t="str">
        <f ca="1">IF(AND(ISNUMBER($T$335),$B$185=1),$T$335,HLOOKUP(INDIRECT(ADDRESS(2,COLUMN())),OFFSET($BN$2,0,0,ROW()-1,60),ROW()-1,FALSE))</f>
        <v/>
      </c>
      <c r="U139" t="str">
        <f ca="1">IF(AND(ISNUMBER($U$335),$B$185=1),$U$335,HLOOKUP(INDIRECT(ADDRESS(2,COLUMN())),OFFSET($BN$2,0,0,ROW()-1,60),ROW()-1,FALSE))</f>
        <v/>
      </c>
      <c r="V139" t="str">
        <f ca="1">IF(AND(ISNUMBER($V$335),$B$185=1),$V$335,HLOOKUP(INDIRECT(ADDRESS(2,COLUMN())),OFFSET($BN$2,0,0,ROW()-1,60),ROW()-1,FALSE))</f>
        <v/>
      </c>
      <c r="W139" t="str">
        <f ca="1">IF(AND(ISNUMBER($W$335),$B$185=1),$W$335,HLOOKUP(INDIRECT(ADDRESS(2,COLUMN())),OFFSET($BN$2,0,0,ROW()-1,60),ROW()-1,FALSE))</f>
        <v/>
      </c>
      <c r="X139" t="str">
        <f ca="1">IF(AND(ISNUMBER($X$335),$B$185=1),$X$335,HLOOKUP(INDIRECT(ADDRESS(2,COLUMN())),OFFSET($BN$2,0,0,ROW()-1,60),ROW()-1,FALSE))</f>
        <v/>
      </c>
      <c r="Y139" t="str">
        <f ca="1">IF(AND(ISNUMBER($Y$335),$B$185=1),$Y$335,HLOOKUP(INDIRECT(ADDRESS(2,COLUMN())),OFFSET($BN$2,0,0,ROW()-1,60),ROW()-1,FALSE))</f>
        <v/>
      </c>
      <c r="Z139" t="str">
        <f ca="1">IF(AND(ISNUMBER($Z$335),$B$185=1),$Z$335,HLOOKUP(INDIRECT(ADDRESS(2,COLUMN())),OFFSET($BN$2,0,0,ROW()-1,60),ROW()-1,FALSE))</f>
        <v/>
      </c>
      <c r="AA139" t="str">
        <f ca="1">IF(AND(ISNUMBER($AA$335),$B$185=1),$AA$335,HLOOKUP(INDIRECT(ADDRESS(2,COLUMN())),OFFSET($BN$2,0,0,ROW()-1,60),ROW()-1,FALSE))</f>
        <v/>
      </c>
      <c r="AB139" t="str">
        <f ca="1">IF(AND(ISNUMBER($AB$335),$B$185=1),$AB$335,HLOOKUP(INDIRECT(ADDRESS(2,COLUMN())),OFFSET($BN$2,0,0,ROW()-1,60),ROW()-1,FALSE))</f>
        <v/>
      </c>
      <c r="AC139" t="str">
        <f ca="1">IF(AND(ISNUMBER($AC$335),$B$185=1),$AC$335,HLOOKUP(INDIRECT(ADDRESS(2,COLUMN())),OFFSET($BN$2,0,0,ROW()-1,60),ROW()-1,FALSE))</f>
        <v/>
      </c>
      <c r="AD139" t="str">
        <f ca="1">IF(AND(ISNUMBER($AD$335),$B$185=1),$AD$335,HLOOKUP(INDIRECT(ADDRESS(2,COLUMN())),OFFSET($BN$2,0,0,ROW()-1,60),ROW()-1,FALSE))</f>
        <v/>
      </c>
      <c r="AE139" t="str">
        <f ca="1">IF(AND(ISNUMBER($AE$335),$B$185=1),$AE$335,HLOOKUP(INDIRECT(ADDRESS(2,COLUMN())),OFFSET($BN$2,0,0,ROW()-1,60),ROW()-1,FALSE))</f>
        <v/>
      </c>
      <c r="AF139" t="str">
        <f ca="1">IF(AND(ISNUMBER($AF$335),$B$185=1),$AF$335,HLOOKUP(INDIRECT(ADDRESS(2,COLUMN())),OFFSET($BN$2,0,0,ROW()-1,60),ROW()-1,FALSE))</f>
        <v/>
      </c>
      <c r="AG139" t="str">
        <f ca="1">IF(AND(ISNUMBER($AG$335),$B$185=1),$AG$335,HLOOKUP(INDIRECT(ADDRESS(2,COLUMN())),OFFSET($BN$2,0,0,ROW()-1,60),ROW()-1,FALSE))</f>
        <v/>
      </c>
      <c r="AH139" t="str">
        <f ca="1">IF(AND(ISNUMBER($AH$335),$B$185=1),$AH$335,HLOOKUP(INDIRECT(ADDRESS(2,COLUMN())),OFFSET($BN$2,0,0,ROW()-1,60),ROW()-1,FALSE))</f>
        <v/>
      </c>
      <c r="AI139">
        <f ca="1">IF(AND(ISNUMBER($AI$335),$B$185=1),$AI$335,HLOOKUP(INDIRECT(ADDRESS(2,COLUMN())),OFFSET($BN$2,0,0,ROW()-1,60),ROW()-1,FALSE))</f>
        <v>513000</v>
      </c>
      <c r="AJ139">
        <f ca="1">IF(AND(ISNUMBER($AJ$335),$B$185=1),$AJ$335,HLOOKUP(INDIRECT(ADDRESS(2,COLUMN())),OFFSET($BN$2,0,0,ROW()-1,60),ROW()-1,FALSE))</f>
        <v>502000</v>
      </c>
      <c r="AK139">
        <f ca="1">IF(AND(ISNUMBER($AK$335),$B$185=1),$AK$335,HLOOKUP(INDIRECT(ADDRESS(2,COLUMN())),OFFSET($BN$2,0,0,ROW()-1,60),ROW()-1,FALSE))</f>
        <v>490000</v>
      </c>
      <c r="AL139" t="str">
        <f ca="1">IF(AND(ISNUMBER($AL$335),$B$185=1),$AL$335,HLOOKUP(INDIRECT(ADDRESS(2,COLUMN())),OFFSET($BN$2,0,0,ROW()-1,60),ROW()-1,FALSE))</f>
        <v/>
      </c>
      <c r="AM139">
        <f ca="1">IF(AND(ISNUMBER($AM$335),$B$185=1),$AM$335,HLOOKUP(INDIRECT(ADDRESS(2,COLUMN())),OFFSET($BN$2,0,0,ROW()-1,60),ROW()-1,FALSE))</f>
        <v>461000</v>
      </c>
      <c r="AN139">
        <f ca="1">IF(AND(ISNUMBER($AN$335),$B$185=1),$AN$335,HLOOKUP(INDIRECT(ADDRESS(2,COLUMN())),OFFSET($BN$2,0,0,ROW()-1,60),ROW()-1,FALSE))</f>
        <v>459000</v>
      </c>
      <c r="AO139">
        <f ca="1">IF(AND(ISNUMBER($AO$335),$B$185=1),$AO$335,HLOOKUP(INDIRECT(ADDRESS(2,COLUMN())),OFFSET($BN$2,0,0,ROW()-1,60),ROW()-1,FALSE))</f>
        <v>453000</v>
      </c>
      <c r="AP139">
        <f ca="1">IF(AND(ISNUMBER($AP$335),$B$185=1),$AP$335,HLOOKUP(INDIRECT(ADDRESS(2,COLUMN())),OFFSET($BN$2,0,0,ROW()-1,60),ROW()-1,FALSE))</f>
        <v>447000</v>
      </c>
      <c r="AQ139">
        <f ca="1">IF(AND(ISNUMBER($AQ$335),$B$185=1),$AQ$335,HLOOKUP(INDIRECT(ADDRESS(2,COLUMN())),OFFSET($BN$2,0,0,ROW()-1,60),ROW()-1,FALSE))</f>
        <v>441000</v>
      </c>
      <c r="AR139">
        <f ca="1">IF(AND(ISNUMBER($AR$335),$B$185=1),$AR$335,HLOOKUP(INDIRECT(ADDRESS(2,COLUMN())),OFFSET($BN$2,0,0,ROW()-1,60),ROW()-1,FALSE))</f>
        <v>436000</v>
      </c>
      <c r="AS139">
        <f ca="1">IF(AND(ISNUMBER($AS$335),$B$185=1),$AS$335,HLOOKUP(INDIRECT(ADDRESS(2,COLUMN())),OFFSET($BN$2,0,0,ROW()-1,60),ROW()-1,FALSE))</f>
        <v>390000</v>
      </c>
      <c r="AT139">
        <f ca="1">IF(AND(ISNUMBER($AT$335),$B$185=1),$AT$335,HLOOKUP(INDIRECT(ADDRESS(2,COLUMN())),OFFSET($BN$2,0,0,ROW()-1,60),ROW()-1,FALSE))</f>
        <v>336000</v>
      </c>
      <c r="AU139">
        <f ca="1">IF(AND(ISNUMBER($AU$335),$B$185=1),$AU$335,HLOOKUP(INDIRECT(ADDRESS(2,COLUMN())),OFFSET($BN$2,0,0,ROW()-1,60),ROW()-1,FALSE))</f>
        <v>363000</v>
      </c>
      <c r="AV139">
        <f ca="1">IF(AND(ISNUMBER($AV$335),$B$185=1),$AV$335,HLOOKUP(INDIRECT(ADDRESS(2,COLUMN())),OFFSET($BN$2,0,0,ROW()-1,60),ROW()-1,FALSE))</f>
        <v>353000</v>
      </c>
      <c r="AW139">
        <f ca="1">IF(AND(ISNUMBER($AW$335),$B$185=1),$AW$335,HLOOKUP(INDIRECT(ADDRESS(2,COLUMN())),OFFSET($BN$2,0,0,ROW()-1,60),ROW()-1,FALSE))</f>
        <v>313000</v>
      </c>
      <c r="AX139">
        <f ca="1">IF(AND(ISNUMBER($AX$335),$B$185=1),$AX$335,HLOOKUP(INDIRECT(ADDRESS(2,COLUMN())),OFFSET($BN$2,0,0,ROW()-1,60),ROW()-1,FALSE))</f>
        <v>347000</v>
      </c>
      <c r="AY139">
        <f ca="1">IF(AND(ISNUMBER($AY$335),$B$185=1),$AY$335,HLOOKUP(INDIRECT(ADDRESS(2,COLUMN())),OFFSET($BN$2,0,0,ROW()-1,60),ROW()-1,FALSE))</f>
        <v>298000</v>
      </c>
      <c r="AZ139">
        <f ca="1">IF(AND(ISNUMBER($AZ$335),$B$185=1),$AZ$335,HLOOKUP(INDIRECT(ADDRESS(2,COLUMN())),OFFSET($BN$2,0,0,ROW()-1,60),ROW()-1,FALSE))</f>
        <v>294000</v>
      </c>
      <c r="BA139">
        <f ca="1">IF(AND(ISNUMBER($BA$335),$B$185=1),$BA$335,HLOOKUP(INDIRECT(ADDRESS(2,COLUMN())),OFFSET($BN$2,0,0,ROW()-1,60),ROW()-1,FALSE))</f>
        <v>290000</v>
      </c>
      <c r="BB139">
        <f ca="1">IF(AND(ISNUMBER($BB$335),$B$185=1),$BB$335,HLOOKUP(INDIRECT(ADDRESS(2,COLUMN())),OFFSET($BN$2,0,0,ROW()-1,60),ROW()-1,FALSE))</f>
        <v>282000</v>
      </c>
      <c r="BC139">
        <f ca="1">IF(AND(ISNUMBER($BC$335),$B$185=1),$BC$335,HLOOKUP(INDIRECT(ADDRESS(2,COLUMN())),OFFSET($BN$2,0,0,ROW()-1,60),ROW()-1,FALSE))</f>
        <v>265000</v>
      </c>
      <c r="BD139">
        <f ca="1">IF(AND(ISNUMBER($BD$335),$B$185=1),$BD$335,HLOOKUP(INDIRECT(ADDRESS(2,COLUMN())),OFFSET($BN$2,0,0,ROW()-1,60),ROW()-1,FALSE))</f>
        <v>264000</v>
      </c>
      <c r="BE139">
        <f ca="1">IF(AND(ISNUMBER($BE$335),$B$185=1),$BE$335,HLOOKUP(INDIRECT(ADDRESS(2,COLUMN())),OFFSET($BN$2,0,0,ROW()-1,60),ROW()-1,FALSE))</f>
        <v>268000</v>
      </c>
      <c r="BF139">
        <f ca="1">IF(AND(ISNUMBER($BF$335),$B$185=1),$BF$335,HLOOKUP(INDIRECT(ADDRESS(2,COLUMN())),OFFSET($BN$2,0,0,ROW()-1,60),ROW()-1,FALSE))</f>
        <v>267000</v>
      </c>
      <c r="BG139">
        <f ca="1">IF(AND(ISNUMBER($BG$335),$B$185=1),$BG$335,HLOOKUP(INDIRECT(ADDRESS(2,COLUMN())),OFFSET($BN$2,0,0,ROW()-1,60),ROW()-1,FALSE))</f>
        <v>267000</v>
      </c>
      <c r="BH139">
        <f ca="1">IF(AND(ISNUMBER($BH$335),$B$185=1),$BH$335,HLOOKUP(INDIRECT(ADDRESS(2,COLUMN())),OFFSET($BN$2,0,0,ROW()-1,60),ROW()-1,FALSE))</f>
        <v>268000</v>
      </c>
      <c r="BI139">
        <f ca="1">IF(AND(ISNUMBER($BI$335),$B$185=1),$BI$335,HLOOKUP(INDIRECT(ADDRESS(2,COLUMN())),OFFSET($BN$2,0,0,ROW()-1,60),ROW()-1,FALSE))</f>
        <v>266000</v>
      </c>
      <c r="BJ139">
        <f ca="1">IF(AND(ISNUMBER($BJ$335),$B$185=1),$BJ$335,HLOOKUP(INDIRECT(ADDRESS(2,COLUMN())),OFFSET($BN$2,0,0,ROW()-1,60),ROW()-1,FALSE))</f>
        <v>266000</v>
      </c>
      <c r="BK139">
        <f ca="1">IF(AND(ISNUMBER($BK$335),$B$185=1),$BK$335,HLOOKUP(INDIRECT(ADDRESS(2,COLUMN())),OFFSET($BN$2,0,0,ROW()-1,60),ROW()-1,FALSE))</f>
        <v>263000</v>
      </c>
      <c r="BL139">
        <f ca="1">IF(AND(ISNUMBER($BL$335),$B$185=1),$BL$335,HLOOKUP(INDIRECT(ADDRESS(2,COLUMN())),OFFSET($BN$2,0,0,ROW()-1,60),ROW()-1,FALSE))</f>
        <v>265000</v>
      </c>
      <c r="BM139">
        <f ca="1">IF(AND(ISNUMBER($BM$335),$B$185=1),$BM$335,HLOOKUP(INDIRECT(ADDRESS(2,COLUMN())),OFFSET($BN$2,0,0,ROW()-1,60),ROW()-1,FALSE))</f>
        <v>282000</v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>
        <f>513000</f>
        <v>513000</v>
      </c>
      <c r="CR139">
        <f>502000</f>
        <v>502000</v>
      </c>
      <c r="CS139">
        <f>490000</f>
        <v>490000</v>
      </c>
      <c r="CT139" t="str">
        <f>""</f>
        <v/>
      </c>
      <c r="CU139">
        <f>461000</f>
        <v>461000</v>
      </c>
      <c r="CV139">
        <f>459000</f>
        <v>459000</v>
      </c>
      <c r="CW139">
        <f>453000</f>
        <v>453000</v>
      </c>
      <c r="CX139">
        <f>447000</f>
        <v>447000</v>
      </c>
      <c r="CY139">
        <f>441000</f>
        <v>441000</v>
      </c>
      <c r="CZ139">
        <f>436000</f>
        <v>436000</v>
      </c>
      <c r="DA139">
        <f>390000</f>
        <v>390000</v>
      </c>
      <c r="DB139">
        <f>336000</f>
        <v>336000</v>
      </c>
      <c r="DC139">
        <f>363000</f>
        <v>363000</v>
      </c>
      <c r="DD139">
        <f>353000</f>
        <v>353000</v>
      </c>
      <c r="DE139">
        <f>313000</f>
        <v>313000</v>
      </c>
      <c r="DF139">
        <f>347000</f>
        <v>347000</v>
      </c>
      <c r="DG139">
        <f>298000</f>
        <v>298000</v>
      </c>
      <c r="DH139">
        <f>294000</f>
        <v>294000</v>
      </c>
      <c r="DI139">
        <f>290000</f>
        <v>290000</v>
      </c>
      <c r="DJ139">
        <f>282000</f>
        <v>282000</v>
      </c>
      <c r="DK139">
        <f>265000</f>
        <v>265000</v>
      </c>
      <c r="DL139">
        <f>264000</f>
        <v>264000</v>
      </c>
      <c r="DM139">
        <f>268000</f>
        <v>268000</v>
      </c>
      <c r="DN139">
        <f>267000</f>
        <v>267000</v>
      </c>
      <c r="DO139">
        <f>267000</f>
        <v>267000</v>
      </c>
      <c r="DP139">
        <f>268000</f>
        <v>268000</v>
      </c>
      <c r="DQ139">
        <f>266000</f>
        <v>266000</v>
      </c>
      <c r="DR139">
        <f>266000</f>
        <v>266000</v>
      </c>
      <c r="DS139">
        <f>263000</f>
        <v>263000</v>
      </c>
      <c r="DT139">
        <f>265000</f>
        <v>265000</v>
      </c>
      <c r="DU139">
        <f>282000</f>
        <v>282000</v>
      </c>
    </row>
    <row r="140" spans="1:125">
      <c r="A140" t="str">
        <f>"    Regions Financial Corp"</f>
        <v xml:space="preserve">    Regions Financial Corp</v>
      </c>
      <c r="B140" t="str">
        <f>"RF US Equity"</f>
        <v>RF US Equity</v>
      </c>
      <c r="C140" t="str">
        <f t="shared" si="16"/>
        <v>BS965</v>
      </c>
      <c r="D140" t="str">
        <f t="shared" si="17"/>
        <v>BS_COMML_MTG_SERVICING_PORTFOLIO</v>
      </c>
      <c r="E140" t="str">
        <f t="shared" si="18"/>
        <v>Dynamic</v>
      </c>
      <c r="F140" t="str">
        <f ca="1">IF(AND(ISNUMBER($F$336),$B$185=1),$F$336,HLOOKUP(INDIRECT(ADDRESS(2,COLUMN())),OFFSET($BN$2,0,0,ROW()-1,60),ROW()-1,FALSE))</f>
        <v/>
      </c>
      <c r="G140" t="str">
        <f ca="1">IF(AND(ISNUMBER($G$336),$B$185=1),$G$336,HLOOKUP(INDIRECT(ADDRESS(2,COLUMN())),OFFSET($BN$2,0,0,ROW()-1,60),ROW()-1,FALSE))</f>
        <v/>
      </c>
      <c r="H140" t="str">
        <f ca="1">IF(AND(ISNUMBER($H$336),$B$185=1),$H$336,HLOOKUP(INDIRECT(ADDRESS(2,COLUMN())),OFFSET($BN$2,0,0,ROW()-1,60),ROW()-1,FALSE))</f>
        <v/>
      </c>
      <c r="I140" t="str">
        <f ca="1">IF(AND(ISNUMBER($I$336),$B$185=1),$I$336,HLOOKUP(INDIRECT(ADDRESS(2,COLUMN())),OFFSET($BN$2,0,0,ROW()-1,60),ROW()-1,FALSE))</f>
        <v/>
      </c>
      <c r="J140" t="str">
        <f ca="1">IF(AND(ISNUMBER($J$336),$B$185=1),$J$336,HLOOKUP(INDIRECT(ADDRESS(2,COLUMN())),OFFSET($BN$2,0,0,ROW()-1,60),ROW()-1,FALSE))</f>
        <v/>
      </c>
      <c r="K140" t="str">
        <f ca="1">IF(AND(ISNUMBER($K$336),$B$185=1),$K$336,HLOOKUP(INDIRECT(ADDRESS(2,COLUMN())),OFFSET($BN$2,0,0,ROW()-1,60),ROW()-1,FALSE))</f>
        <v/>
      </c>
      <c r="L140" t="str">
        <f ca="1">IF(AND(ISNUMBER($L$336),$B$185=1),$L$336,HLOOKUP(INDIRECT(ADDRESS(2,COLUMN())),OFFSET($BN$2,0,0,ROW()-1,60),ROW()-1,FALSE))</f>
        <v/>
      </c>
      <c r="M140" t="str">
        <f ca="1">IF(AND(ISNUMBER($M$336),$B$185=1),$M$336,HLOOKUP(INDIRECT(ADDRESS(2,COLUMN())),OFFSET($BN$2,0,0,ROW()-1,60),ROW()-1,FALSE))</f>
        <v/>
      </c>
      <c r="N140" t="str">
        <f ca="1">IF(AND(ISNUMBER($N$336),$B$185=1),$N$336,HLOOKUP(INDIRECT(ADDRESS(2,COLUMN())),OFFSET($BN$2,0,0,ROW()-1,60),ROW()-1,FALSE))</f>
        <v/>
      </c>
      <c r="O140" t="str">
        <f ca="1">IF(AND(ISNUMBER($O$336),$B$185=1),$O$336,HLOOKUP(INDIRECT(ADDRESS(2,COLUMN())),OFFSET($BN$2,0,0,ROW()-1,60),ROW()-1,FALSE))</f>
        <v/>
      </c>
      <c r="P140" t="str">
        <f ca="1">IF(AND(ISNUMBER($P$336),$B$185=1),$P$336,HLOOKUP(INDIRECT(ADDRESS(2,COLUMN())),OFFSET($BN$2,0,0,ROW()-1,60),ROW()-1,FALSE))</f>
        <v/>
      </c>
      <c r="Q140" t="str">
        <f ca="1">IF(AND(ISNUMBER($Q$336),$B$185=1),$Q$336,HLOOKUP(INDIRECT(ADDRESS(2,COLUMN())),OFFSET($BN$2,0,0,ROW()-1,60),ROW()-1,FALSE))</f>
        <v/>
      </c>
      <c r="R140" t="str">
        <f ca="1">IF(AND(ISNUMBER($R$336),$B$185=1),$R$336,HLOOKUP(INDIRECT(ADDRESS(2,COLUMN())),OFFSET($BN$2,0,0,ROW()-1,60),ROW()-1,FALSE))</f>
        <v/>
      </c>
      <c r="S140" t="str">
        <f ca="1">IF(AND(ISNUMBER($S$336),$B$185=1),$S$336,HLOOKUP(INDIRECT(ADDRESS(2,COLUMN())),OFFSET($BN$2,0,0,ROW()-1,60),ROW()-1,FALSE))</f>
        <v/>
      </c>
      <c r="T140" t="str">
        <f ca="1">IF(AND(ISNUMBER($T$336),$B$185=1),$T$336,HLOOKUP(INDIRECT(ADDRESS(2,COLUMN())),OFFSET($BN$2,0,0,ROW()-1,60),ROW()-1,FALSE))</f>
        <v/>
      </c>
      <c r="U140" t="str">
        <f ca="1">IF(AND(ISNUMBER($U$336),$B$185=1),$U$336,HLOOKUP(INDIRECT(ADDRESS(2,COLUMN())),OFFSET($BN$2,0,0,ROW()-1,60),ROW()-1,FALSE))</f>
        <v/>
      </c>
      <c r="V140" t="str">
        <f ca="1">IF(AND(ISNUMBER($V$336),$B$185=1),$V$336,HLOOKUP(INDIRECT(ADDRESS(2,COLUMN())),OFFSET($BN$2,0,0,ROW()-1,60),ROW()-1,FALSE))</f>
        <v/>
      </c>
      <c r="W140" t="str">
        <f ca="1">IF(AND(ISNUMBER($W$336),$B$185=1),$W$336,HLOOKUP(INDIRECT(ADDRESS(2,COLUMN())),OFFSET($BN$2,0,0,ROW()-1,60),ROW()-1,FALSE))</f>
        <v/>
      </c>
      <c r="X140" t="str">
        <f ca="1">IF(AND(ISNUMBER($X$336),$B$185=1),$X$336,HLOOKUP(INDIRECT(ADDRESS(2,COLUMN())),OFFSET($BN$2,0,0,ROW()-1,60),ROW()-1,FALSE))</f>
        <v/>
      </c>
      <c r="Y140" t="str">
        <f ca="1">IF(AND(ISNUMBER($Y$336),$B$185=1),$Y$336,HLOOKUP(INDIRECT(ADDRESS(2,COLUMN())),OFFSET($BN$2,0,0,ROW()-1,60),ROW()-1,FALSE))</f>
        <v/>
      </c>
      <c r="Z140" t="str">
        <f ca="1">IF(AND(ISNUMBER($Z$336),$B$185=1),$Z$336,HLOOKUP(INDIRECT(ADDRESS(2,COLUMN())),OFFSET($BN$2,0,0,ROW()-1,60),ROW()-1,FALSE))</f>
        <v/>
      </c>
      <c r="AA140" t="str">
        <f ca="1">IF(AND(ISNUMBER($AA$336),$B$185=1),$AA$336,HLOOKUP(INDIRECT(ADDRESS(2,COLUMN())),OFFSET($BN$2,0,0,ROW()-1,60),ROW()-1,FALSE))</f>
        <v/>
      </c>
      <c r="AB140" t="str">
        <f ca="1">IF(AND(ISNUMBER($AB$336),$B$185=1),$AB$336,HLOOKUP(INDIRECT(ADDRESS(2,COLUMN())),OFFSET($BN$2,0,0,ROW()-1,60),ROW()-1,FALSE))</f>
        <v/>
      </c>
      <c r="AC140" t="str">
        <f ca="1">IF(AND(ISNUMBER($AC$336),$B$185=1),$AC$336,HLOOKUP(INDIRECT(ADDRESS(2,COLUMN())),OFFSET($BN$2,0,0,ROW()-1,60),ROW()-1,FALSE))</f>
        <v/>
      </c>
      <c r="AD140" t="str">
        <f ca="1">IF(AND(ISNUMBER($AD$336),$B$185=1),$AD$336,HLOOKUP(INDIRECT(ADDRESS(2,COLUMN())),OFFSET($BN$2,0,0,ROW()-1,60),ROW()-1,FALSE))</f>
        <v/>
      </c>
      <c r="AE140" t="str">
        <f ca="1">IF(AND(ISNUMBER($AE$336),$B$185=1),$AE$336,HLOOKUP(INDIRECT(ADDRESS(2,COLUMN())),OFFSET($BN$2,0,0,ROW()-1,60),ROW()-1,FALSE))</f>
        <v/>
      </c>
      <c r="AF140" t="str">
        <f ca="1">IF(AND(ISNUMBER($AF$336),$B$185=1),$AF$336,HLOOKUP(INDIRECT(ADDRESS(2,COLUMN())),OFFSET($BN$2,0,0,ROW()-1,60),ROW()-1,FALSE))</f>
        <v/>
      </c>
      <c r="AG140" t="str">
        <f ca="1">IF(AND(ISNUMBER($AG$336),$B$185=1),$AG$336,HLOOKUP(INDIRECT(ADDRESS(2,COLUMN())),OFFSET($BN$2,0,0,ROW()-1,60),ROW()-1,FALSE))</f>
        <v/>
      </c>
      <c r="AH140" t="str">
        <f ca="1">IF(AND(ISNUMBER($AH$336),$B$185=1),$AH$336,HLOOKUP(INDIRECT(ADDRESS(2,COLUMN())),OFFSET($BN$2,0,0,ROW()-1,60),ROW()-1,FALSE))</f>
        <v/>
      </c>
      <c r="AI140" t="str">
        <f ca="1">IF(AND(ISNUMBER($AI$336),$B$185=1),$AI$336,HLOOKUP(INDIRECT(ADDRESS(2,COLUMN())),OFFSET($BN$2,0,0,ROW()-1,60),ROW()-1,FALSE))</f>
        <v/>
      </c>
      <c r="AJ140" t="str">
        <f ca="1">IF(AND(ISNUMBER($AJ$336),$B$185=1),$AJ$336,HLOOKUP(INDIRECT(ADDRESS(2,COLUMN())),OFFSET($BN$2,0,0,ROW()-1,60),ROW()-1,FALSE))</f>
        <v/>
      </c>
      <c r="AK140" t="str">
        <f ca="1">IF(AND(ISNUMBER($AK$336),$B$185=1),$AK$336,HLOOKUP(INDIRECT(ADDRESS(2,COLUMN())),OFFSET($BN$2,0,0,ROW()-1,60),ROW()-1,FALSE))</f>
        <v/>
      </c>
      <c r="AL140" t="str">
        <f ca="1">IF(AND(ISNUMBER($AL$336),$B$185=1),$AL$336,HLOOKUP(INDIRECT(ADDRESS(2,COLUMN())),OFFSET($BN$2,0,0,ROW()-1,60),ROW()-1,FALSE))</f>
        <v/>
      </c>
      <c r="AM140" t="str">
        <f ca="1">IF(AND(ISNUMBER($AM$336),$B$185=1),$AM$336,HLOOKUP(INDIRECT(ADDRESS(2,COLUMN())),OFFSET($BN$2,0,0,ROW()-1,60),ROW()-1,FALSE))</f>
        <v/>
      </c>
      <c r="AN140" t="str">
        <f ca="1">IF(AND(ISNUMBER($AN$336),$B$185=1),$AN$336,HLOOKUP(INDIRECT(ADDRESS(2,COLUMN())),OFFSET($BN$2,0,0,ROW()-1,60),ROW()-1,FALSE))</f>
        <v/>
      </c>
      <c r="AO140" t="str">
        <f ca="1">IF(AND(ISNUMBER($AO$336),$B$185=1),$AO$336,HLOOKUP(INDIRECT(ADDRESS(2,COLUMN())),OFFSET($BN$2,0,0,ROW()-1,60),ROW()-1,FALSE))</f>
        <v/>
      </c>
      <c r="AP140" t="str">
        <f ca="1">IF(AND(ISNUMBER($AP$336),$B$185=1),$AP$336,HLOOKUP(INDIRECT(ADDRESS(2,COLUMN())),OFFSET($BN$2,0,0,ROW()-1,60),ROW()-1,FALSE))</f>
        <v/>
      </c>
      <c r="AQ140" t="str">
        <f ca="1">IF(AND(ISNUMBER($AQ$336),$B$185=1),$AQ$336,HLOOKUP(INDIRECT(ADDRESS(2,COLUMN())),OFFSET($BN$2,0,0,ROW()-1,60),ROW()-1,FALSE))</f>
        <v/>
      </c>
      <c r="AR140" t="str">
        <f ca="1">IF(AND(ISNUMBER($AR$336),$B$185=1),$AR$336,HLOOKUP(INDIRECT(ADDRESS(2,COLUMN())),OFFSET($BN$2,0,0,ROW()-1,60),ROW()-1,FALSE))</f>
        <v/>
      </c>
      <c r="AS140" t="str">
        <f ca="1">IF(AND(ISNUMBER($AS$336),$B$185=1),$AS$336,HLOOKUP(INDIRECT(ADDRESS(2,COLUMN())),OFFSET($BN$2,0,0,ROW()-1,60),ROW()-1,FALSE))</f>
        <v/>
      </c>
      <c r="AT140" t="str">
        <f ca="1">IF(AND(ISNUMBER($AT$336),$B$185=1),$AT$336,HLOOKUP(INDIRECT(ADDRESS(2,COLUMN())),OFFSET($BN$2,0,0,ROW()-1,60),ROW()-1,FALSE))</f>
        <v/>
      </c>
      <c r="AU140" t="str">
        <f ca="1">IF(AND(ISNUMBER($AU$336),$B$185=1),$AU$336,HLOOKUP(INDIRECT(ADDRESS(2,COLUMN())),OFFSET($BN$2,0,0,ROW()-1,60),ROW()-1,FALSE))</f>
        <v/>
      </c>
      <c r="AV140" t="str">
        <f ca="1">IF(AND(ISNUMBER($AV$336),$B$185=1),$AV$336,HLOOKUP(INDIRECT(ADDRESS(2,COLUMN())),OFFSET($BN$2,0,0,ROW()-1,60),ROW()-1,FALSE))</f>
        <v/>
      </c>
      <c r="AW140" t="str">
        <f ca="1">IF(AND(ISNUMBER($AW$336),$B$185=1),$AW$336,HLOOKUP(INDIRECT(ADDRESS(2,COLUMN())),OFFSET($BN$2,0,0,ROW()-1,60),ROW()-1,FALSE))</f>
        <v/>
      </c>
      <c r="AX140" t="str">
        <f ca="1">IF(AND(ISNUMBER($AX$336),$B$185=1),$AX$336,HLOOKUP(INDIRECT(ADDRESS(2,COLUMN())),OFFSET($BN$2,0,0,ROW()-1,60),ROW()-1,FALSE))</f>
        <v/>
      </c>
      <c r="AY140" t="str">
        <f ca="1">IF(AND(ISNUMBER($AY$336),$B$185=1),$AY$336,HLOOKUP(INDIRECT(ADDRESS(2,COLUMN())),OFFSET($BN$2,0,0,ROW()-1,60),ROW()-1,FALSE))</f>
        <v/>
      </c>
      <c r="AZ140" t="str">
        <f ca="1">IF(AND(ISNUMBER($AZ$336),$B$185=1),$AZ$336,HLOOKUP(INDIRECT(ADDRESS(2,COLUMN())),OFFSET($BN$2,0,0,ROW()-1,60),ROW()-1,FALSE))</f>
        <v/>
      </c>
      <c r="BA140" t="str">
        <f ca="1">IF(AND(ISNUMBER($BA$336),$B$185=1),$BA$336,HLOOKUP(INDIRECT(ADDRESS(2,COLUMN())),OFFSET($BN$2,0,0,ROW()-1,60),ROW()-1,FALSE))</f>
        <v/>
      </c>
      <c r="BB140" t="str">
        <f ca="1">IF(AND(ISNUMBER($BB$336),$B$185=1),$BB$336,HLOOKUP(INDIRECT(ADDRESS(2,COLUMN())),OFFSET($BN$2,0,0,ROW()-1,60),ROW()-1,FALSE))</f>
        <v/>
      </c>
      <c r="BC140" t="str">
        <f ca="1">IF(AND(ISNUMBER($BC$336),$B$185=1),$BC$336,HLOOKUP(INDIRECT(ADDRESS(2,COLUMN())),OFFSET($BN$2,0,0,ROW()-1,60),ROW()-1,FALSE))</f>
        <v/>
      </c>
      <c r="BD140" t="str">
        <f ca="1">IF(AND(ISNUMBER($BD$336),$B$185=1),$BD$336,HLOOKUP(INDIRECT(ADDRESS(2,COLUMN())),OFFSET($BN$2,0,0,ROW()-1,60),ROW()-1,FALSE))</f>
        <v/>
      </c>
      <c r="BE140" t="str">
        <f ca="1">IF(AND(ISNUMBER($BE$336),$B$185=1),$BE$336,HLOOKUP(INDIRECT(ADDRESS(2,COLUMN())),OFFSET($BN$2,0,0,ROW()-1,60),ROW()-1,FALSE))</f>
        <v/>
      </c>
      <c r="BF140" t="str">
        <f ca="1">IF(AND(ISNUMBER($BF$336),$B$185=1),$BF$336,HLOOKUP(INDIRECT(ADDRESS(2,COLUMN())),OFFSET($BN$2,0,0,ROW()-1,60),ROW()-1,FALSE))</f>
        <v/>
      </c>
      <c r="BG140" t="str">
        <f ca="1">IF(AND(ISNUMBER($BG$336),$B$185=1),$BG$336,HLOOKUP(INDIRECT(ADDRESS(2,COLUMN())),OFFSET($BN$2,0,0,ROW()-1,60),ROW()-1,FALSE))</f>
        <v/>
      </c>
      <c r="BH140" t="str">
        <f ca="1">IF(AND(ISNUMBER($BH$336),$B$185=1),$BH$336,HLOOKUP(INDIRECT(ADDRESS(2,COLUMN())),OFFSET($BN$2,0,0,ROW()-1,60),ROW()-1,FALSE))</f>
        <v/>
      </c>
      <c r="BI140" t="str">
        <f ca="1">IF(AND(ISNUMBER($BI$336),$B$185=1),$BI$336,HLOOKUP(INDIRECT(ADDRESS(2,COLUMN())),OFFSET($BN$2,0,0,ROW()-1,60),ROW()-1,FALSE))</f>
        <v/>
      </c>
      <c r="BJ140" t="str">
        <f ca="1">IF(AND(ISNUMBER($BJ$336),$B$185=1),$BJ$336,HLOOKUP(INDIRECT(ADDRESS(2,COLUMN())),OFFSET($BN$2,0,0,ROW()-1,60),ROW()-1,FALSE))</f>
        <v/>
      </c>
      <c r="BK140" t="str">
        <f ca="1">IF(AND(ISNUMBER($BK$336),$B$185=1),$BK$336,HLOOKUP(INDIRECT(ADDRESS(2,COLUMN())),OFFSET($BN$2,0,0,ROW()-1,60),ROW()-1,FALSE))</f>
        <v/>
      </c>
      <c r="BL140" t="str">
        <f ca="1">IF(AND(ISNUMBER($BL$336),$B$185=1),$BL$336,HLOOKUP(INDIRECT(ADDRESS(2,COLUMN())),OFFSET($BN$2,0,0,ROW()-1,60),ROW()-1,FALSE))</f>
        <v/>
      </c>
      <c r="BM140" t="str">
        <f ca="1">IF(AND(ISNUMBER($BM$336),$B$185=1),$BM$336,HLOOKUP(INDIRECT(ADDRESS(2,COLUMN())),OFFSET($BN$2,0,0,ROW()-1,60),ROW()-1,FALSE))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  <c r="BT140" t="str">
        <f>""</f>
        <v/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>
      <c r="A141" t="str">
        <f>"    Signature Bank/New York NY"</f>
        <v xml:space="preserve">    Signature Bank/New York NY</v>
      </c>
      <c r="B141" t="str">
        <f>"SBNY US Equity"</f>
        <v>SBNY US Equity</v>
      </c>
      <c r="C141" t="str">
        <f t="shared" si="16"/>
        <v>BS965</v>
      </c>
      <c r="D141" t="str">
        <f t="shared" si="17"/>
        <v>BS_COMML_MTG_SERVICING_PORTFOLIO</v>
      </c>
      <c r="E141" t="str">
        <f t="shared" si="18"/>
        <v>Dynamic</v>
      </c>
      <c r="F141" t="str">
        <f ca="1">IF(AND(ISNUMBER($F$337),$B$185=1),$F$337,HLOOKUP(INDIRECT(ADDRESS(2,COLUMN())),OFFSET($BN$2,0,0,ROW()-1,60),ROW()-1,FALSE))</f>
        <v/>
      </c>
      <c r="G141" t="str">
        <f ca="1">IF(AND(ISNUMBER($G$337),$B$185=1),$G$337,HLOOKUP(INDIRECT(ADDRESS(2,COLUMN())),OFFSET($BN$2,0,0,ROW()-1,60),ROW()-1,FALSE))</f>
        <v/>
      </c>
      <c r="H141" t="str">
        <f ca="1">IF(AND(ISNUMBER($H$337),$B$185=1),$H$337,HLOOKUP(INDIRECT(ADDRESS(2,COLUMN())),OFFSET($BN$2,0,0,ROW()-1,60),ROW()-1,FALSE))</f>
        <v/>
      </c>
      <c r="I141" t="str">
        <f ca="1">IF(AND(ISNUMBER($I$337),$B$185=1),$I$337,HLOOKUP(INDIRECT(ADDRESS(2,COLUMN())),OFFSET($BN$2,0,0,ROW()-1,60),ROW()-1,FALSE))</f>
        <v/>
      </c>
      <c r="J141" t="str">
        <f ca="1">IF(AND(ISNUMBER($J$337),$B$185=1),$J$337,HLOOKUP(INDIRECT(ADDRESS(2,COLUMN())),OFFSET($BN$2,0,0,ROW()-1,60),ROW()-1,FALSE))</f>
        <v/>
      </c>
      <c r="K141" t="str">
        <f ca="1">IF(AND(ISNUMBER($K$337),$B$185=1),$K$337,HLOOKUP(INDIRECT(ADDRESS(2,COLUMN())),OFFSET($BN$2,0,0,ROW()-1,60),ROW()-1,FALSE))</f>
        <v/>
      </c>
      <c r="L141" t="str">
        <f ca="1">IF(AND(ISNUMBER($L$337),$B$185=1),$L$337,HLOOKUP(INDIRECT(ADDRESS(2,COLUMN())),OFFSET($BN$2,0,0,ROW()-1,60),ROW()-1,FALSE))</f>
        <v/>
      </c>
      <c r="M141" t="str">
        <f ca="1">IF(AND(ISNUMBER($M$337),$B$185=1),$M$337,HLOOKUP(INDIRECT(ADDRESS(2,COLUMN())),OFFSET($BN$2,0,0,ROW()-1,60),ROW()-1,FALSE))</f>
        <v/>
      </c>
      <c r="N141" t="str">
        <f ca="1">IF(AND(ISNUMBER($N$337),$B$185=1),$N$337,HLOOKUP(INDIRECT(ADDRESS(2,COLUMN())),OFFSET($BN$2,0,0,ROW()-1,60),ROW()-1,FALSE))</f>
        <v/>
      </c>
      <c r="O141" t="str">
        <f ca="1">IF(AND(ISNUMBER($O$337),$B$185=1),$O$337,HLOOKUP(INDIRECT(ADDRESS(2,COLUMN())),OFFSET($BN$2,0,0,ROW()-1,60),ROW()-1,FALSE))</f>
        <v/>
      </c>
      <c r="P141" t="str">
        <f ca="1">IF(AND(ISNUMBER($P$337),$B$185=1),$P$337,HLOOKUP(INDIRECT(ADDRESS(2,COLUMN())),OFFSET($BN$2,0,0,ROW()-1,60),ROW()-1,FALSE))</f>
        <v/>
      </c>
      <c r="Q141" t="str">
        <f ca="1">IF(AND(ISNUMBER($Q$337),$B$185=1),$Q$337,HLOOKUP(INDIRECT(ADDRESS(2,COLUMN())),OFFSET($BN$2,0,0,ROW()-1,60),ROW()-1,FALSE))</f>
        <v/>
      </c>
      <c r="R141" t="str">
        <f ca="1">IF(AND(ISNUMBER($R$337),$B$185=1),$R$337,HLOOKUP(INDIRECT(ADDRESS(2,COLUMN())),OFFSET($BN$2,0,0,ROW()-1,60),ROW()-1,FALSE))</f>
        <v/>
      </c>
      <c r="S141" t="str">
        <f ca="1">IF(AND(ISNUMBER($S$337),$B$185=1),$S$337,HLOOKUP(INDIRECT(ADDRESS(2,COLUMN())),OFFSET($BN$2,0,0,ROW()-1,60),ROW()-1,FALSE))</f>
        <v/>
      </c>
      <c r="T141" t="str">
        <f ca="1">IF(AND(ISNUMBER($T$337),$B$185=1),$T$337,HLOOKUP(INDIRECT(ADDRESS(2,COLUMN())),OFFSET($BN$2,0,0,ROW()-1,60),ROW()-1,FALSE))</f>
        <v/>
      </c>
      <c r="U141" t="str">
        <f ca="1">IF(AND(ISNUMBER($U$337),$B$185=1),$U$337,HLOOKUP(INDIRECT(ADDRESS(2,COLUMN())),OFFSET($BN$2,0,0,ROW()-1,60),ROW()-1,FALSE))</f>
        <v/>
      </c>
      <c r="V141" t="str">
        <f ca="1">IF(AND(ISNUMBER($V$337),$B$185=1),$V$337,HLOOKUP(INDIRECT(ADDRESS(2,COLUMN())),OFFSET($BN$2,0,0,ROW()-1,60),ROW()-1,FALSE))</f>
        <v/>
      </c>
      <c r="W141" t="str">
        <f ca="1">IF(AND(ISNUMBER($W$337),$B$185=1),$W$337,HLOOKUP(INDIRECT(ADDRESS(2,COLUMN())),OFFSET($BN$2,0,0,ROW()-1,60),ROW()-1,FALSE))</f>
        <v/>
      </c>
      <c r="X141" t="str">
        <f ca="1">IF(AND(ISNUMBER($X$337),$B$185=1),$X$337,HLOOKUP(INDIRECT(ADDRESS(2,COLUMN())),OFFSET($BN$2,0,0,ROW()-1,60),ROW()-1,FALSE))</f>
        <v/>
      </c>
      <c r="Y141" t="str">
        <f ca="1">IF(AND(ISNUMBER($Y$337),$B$185=1),$Y$337,HLOOKUP(INDIRECT(ADDRESS(2,COLUMN())),OFFSET($BN$2,0,0,ROW()-1,60),ROW()-1,FALSE))</f>
        <v/>
      </c>
      <c r="Z141" t="str">
        <f ca="1">IF(AND(ISNUMBER($Z$337),$B$185=1),$Z$337,HLOOKUP(INDIRECT(ADDRESS(2,COLUMN())),OFFSET($BN$2,0,0,ROW()-1,60),ROW()-1,FALSE))</f>
        <v/>
      </c>
      <c r="AA141" t="str">
        <f ca="1">IF(AND(ISNUMBER($AA$337),$B$185=1),$AA$337,HLOOKUP(INDIRECT(ADDRESS(2,COLUMN())),OFFSET($BN$2,0,0,ROW()-1,60),ROW()-1,FALSE))</f>
        <v/>
      </c>
      <c r="AB141" t="str">
        <f ca="1">IF(AND(ISNUMBER($AB$337),$B$185=1),$AB$337,HLOOKUP(INDIRECT(ADDRESS(2,COLUMN())),OFFSET($BN$2,0,0,ROW()-1,60),ROW()-1,FALSE))</f>
        <v/>
      </c>
      <c r="AC141" t="str">
        <f ca="1">IF(AND(ISNUMBER($AC$337),$B$185=1),$AC$337,HLOOKUP(INDIRECT(ADDRESS(2,COLUMN())),OFFSET($BN$2,0,0,ROW()-1,60),ROW()-1,FALSE))</f>
        <v/>
      </c>
      <c r="AD141" t="str">
        <f ca="1">IF(AND(ISNUMBER($AD$337),$B$185=1),$AD$337,HLOOKUP(INDIRECT(ADDRESS(2,COLUMN())),OFFSET($BN$2,0,0,ROW()-1,60),ROW()-1,FALSE))</f>
        <v/>
      </c>
      <c r="AE141" t="str">
        <f ca="1">IF(AND(ISNUMBER($AE$337),$B$185=1),$AE$337,HLOOKUP(INDIRECT(ADDRESS(2,COLUMN())),OFFSET($BN$2,0,0,ROW()-1,60),ROW()-1,FALSE))</f>
        <v/>
      </c>
      <c r="AF141" t="str">
        <f ca="1">IF(AND(ISNUMBER($AF$337),$B$185=1),$AF$337,HLOOKUP(INDIRECT(ADDRESS(2,COLUMN())),OFFSET($BN$2,0,0,ROW()-1,60),ROW()-1,FALSE))</f>
        <v/>
      </c>
      <c r="AG141" t="str">
        <f ca="1">IF(AND(ISNUMBER($AG$337),$B$185=1),$AG$337,HLOOKUP(INDIRECT(ADDRESS(2,COLUMN())),OFFSET($BN$2,0,0,ROW()-1,60),ROW()-1,FALSE))</f>
        <v/>
      </c>
      <c r="AH141" t="str">
        <f ca="1">IF(AND(ISNUMBER($AH$337),$B$185=1),$AH$337,HLOOKUP(INDIRECT(ADDRESS(2,COLUMN())),OFFSET($BN$2,0,0,ROW()-1,60),ROW()-1,FALSE))</f>
        <v/>
      </c>
      <c r="AI141" t="str">
        <f ca="1">IF(AND(ISNUMBER($AI$337),$B$185=1),$AI$337,HLOOKUP(INDIRECT(ADDRESS(2,COLUMN())),OFFSET($BN$2,0,0,ROW()-1,60),ROW()-1,FALSE))</f>
        <v/>
      </c>
      <c r="AJ141" t="str">
        <f ca="1">IF(AND(ISNUMBER($AJ$337),$B$185=1),$AJ$337,HLOOKUP(INDIRECT(ADDRESS(2,COLUMN())),OFFSET($BN$2,0,0,ROW()-1,60),ROW()-1,FALSE))</f>
        <v/>
      </c>
      <c r="AK141" t="str">
        <f ca="1">IF(AND(ISNUMBER($AK$337),$B$185=1),$AK$337,HLOOKUP(INDIRECT(ADDRESS(2,COLUMN())),OFFSET($BN$2,0,0,ROW()-1,60),ROW()-1,FALSE))</f>
        <v/>
      </c>
      <c r="AL141" t="str">
        <f ca="1">IF(AND(ISNUMBER($AL$337),$B$185=1),$AL$337,HLOOKUP(INDIRECT(ADDRESS(2,COLUMN())),OFFSET($BN$2,0,0,ROW()-1,60),ROW()-1,FALSE))</f>
        <v/>
      </c>
      <c r="AM141" t="str">
        <f ca="1">IF(AND(ISNUMBER($AM$337),$B$185=1),$AM$337,HLOOKUP(INDIRECT(ADDRESS(2,COLUMN())),OFFSET($BN$2,0,0,ROW()-1,60),ROW()-1,FALSE))</f>
        <v/>
      </c>
      <c r="AN141" t="str">
        <f ca="1">IF(AND(ISNUMBER($AN$337),$B$185=1),$AN$337,HLOOKUP(INDIRECT(ADDRESS(2,COLUMN())),OFFSET($BN$2,0,0,ROW()-1,60),ROW()-1,FALSE))</f>
        <v/>
      </c>
      <c r="AO141" t="str">
        <f ca="1">IF(AND(ISNUMBER($AO$337),$B$185=1),$AO$337,HLOOKUP(INDIRECT(ADDRESS(2,COLUMN())),OFFSET($BN$2,0,0,ROW()-1,60),ROW()-1,FALSE))</f>
        <v/>
      </c>
      <c r="AP141" t="str">
        <f ca="1">IF(AND(ISNUMBER($AP$337),$B$185=1),$AP$337,HLOOKUP(INDIRECT(ADDRESS(2,COLUMN())),OFFSET($BN$2,0,0,ROW()-1,60),ROW()-1,FALSE))</f>
        <v/>
      </c>
      <c r="AQ141" t="str">
        <f ca="1">IF(AND(ISNUMBER($AQ$337),$B$185=1),$AQ$337,HLOOKUP(INDIRECT(ADDRESS(2,COLUMN())),OFFSET($BN$2,0,0,ROW()-1,60),ROW()-1,FALSE))</f>
        <v/>
      </c>
      <c r="AR141" t="str">
        <f ca="1">IF(AND(ISNUMBER($AR$337),$B$185=1),$AR$337,HLOOKUP(INDIRECT(ADDRESS(2,COLUMN())),OFFSET($BN$2,0,0,ROW()-1,60),ROW()-1,FALSE))</f>
        <v/>
      </c>
      <c r="AS141" t="str">
        <f ca="1">IF(AND(ISNUMBER($AS$337),$B$185=1),$AS$337,HLOOKUP(INDIRECT(ADDRESS(2,COLUMN())),OFFSET($BN$2,0,0,ROW()-1,60),ROW()-1,FALSE))</f>
        <v/>
      </c>
      <c r="AT141" t="str">
        <f ca="1">IF(AND(ISNUMBER($AT$337),$B$185=1),$AT$337,HLOOKUP(INDIRECT(ADDRESS(2,COLUMN())),OFFSET($BN$2,0,0,ROW()-1,60),ROW()-1,FALSE))</f>
        <v/>
      </c>
      <c r="AU141" t="str">
        <f ca="1">IF(AND(ISNUMBER($AU$337),$B$185=1),$AU$337,HLOOKUP(INDIRECT(ADDRESS(2,COLUMN())),OFFSET($BN$2,0,0,ROW()-1,60),ROW()-1,FALSE))</f>
        <v/>
      </c>
      <c r="AV141" t="str">
        <f ca="1">IF(AND(ISNUMBER($AV$337),$B$185=1),$AV$337,HLOOKUP(INDIRECT(ADDRESS(2,COLUMN())),OFFSET($BN$2,0,0,ROW()-1,60),ROW()-1,FALSE))</f>
        <v/>
      </c>
      <c r="AW141" t="str">
        <f ca="1">IF(AND(ISNUMBER($AW$337),$B$185=1),$AW$337,HLOOKUP(INDIRECT(ADDRESS(2,COLUMN())),OFFSET($BN$2,0,0,ROW()-1,60),ROW()-1,FALSE))</f>
        <v/>
      </c>
      <c r="AX141" t="str">
        <f ca="1">IF(AND(ISNUMBER($AX$337),$B$185=1),$AX$337,HLOOKUP(INDIRECT(ADDRESS(2,COLUMN())),OFFSET($BN$2,0,0,ROW()-1,60),ROW()-1,FALSE))</f>
        <v/>
      </c>
      <c r="AY141" t="str">
        <f ca="1">IF(AND(ISNUMBER($AY$337),$B$185=1),$AY$337,HLOOKUP(INDIRECT(ADDRESS(2,COLUMN())),OFFSET($BN$2,0,0,ROW()-1,60),ROW()-1,FALSE))</f>
        <v/>
      </c>
      <c r="AZ141" t="str">
        <f ca="1">IF(AND(ISNUMBER($AZ$337),$B$185=1),$AZ$337,HLOOKUP(INDIRECT(ADDRESS(2,COLUMN())),OFFSET($BN$2,0,0,ROW()-1,60),ROW()-1,FALSE))</f>
        <v/>
      </c>
      <c r="BA141" t="str">
        <f ca="1">IF(AND(ISNUMBER($BA$337),$B$185=1),$BA$337,HLOOKUP(INDIRECT(ADDRESS(2,COLUMN())),OFFSET($BN$2,0,0,ROW()-1,60),ROW()-1,FALSE))</f>
        <v/>
      </c>
      <c r="BB141" t="str">
        <f ca="1">IF(AND(ISNUMBER($BB$337),$B$185=1),$BB$337,HLOOKUP(INDIRECT(ADDRESS(2,COLUMN())),OFFSET($BN$2,0,0,ROW()-1,60),ROW()-1,FALSE))</f>
        <v/>
      </c>
      <c r="BC141" t="str">
        <f ca="1">IF(AND(ISNUMBER($BC$337),$B$185=1),$BC$337,HLOOKUP(INDIRECT(ADDRESS(2,COLUMN())),OFFSET($BN$2,0,0,ROW()-1,60),ROW()-1,FALSE))</f>
        <v/>
      </c>
      <c r="BD141" t="str">
        <f ca="1">IF(AND(ISNUMBER($BD$337),$B$185=1),$BD$337,HLOOKUP(INDIRECT(ADDRESS(2,COLUMN())),OFFSET($BN$2,0,0,ROW()-1,60),ROW()-1,FALSE))</f>
        <v/>
      </c>
      <c r="BE141" t="str">
        <f ca="1">IF(AND(ISNUMBER($BE$337),$B$185=1),$BE$337,HLOOKUP(INDIRECT(ADDRESS(2,COLUMN())),OFFSET($BN$2,0,0,ROW()-1,60),ROW()-1,FALSE))</f>
        <v/>
      </c>
      <c r="BF141" t="str">
        <f ca="1">IF(AND(ISNUMBER($BF$337),$B$185=1),$BF$337,HLOOKUP(INDIRECT(ADDRESS(2,COLUMN())),OFFSET($BN$2,0,0,ROW()-1,60),ROW()-1,FALSE))</f>
        <v/>
      </c>
      <c r="BG141" t="str">
        <f ca="1">IF(AND(ISNUMBER($BG$337),$B$185=1),$BG$337,HLOOKUP(INDIRECT(ADDRESS(2,COLUMN())),OFFSET($BN$2,0,0,ROW()-1,60),ROW()-1,FALSE))</f>
        <v/>
      </c>
      <c r="BH141" t="str">
        <f ca="1">IF(AND(ISNUMBER($BH$337),$B$185=1),$BH$337,HLOOKUP(INDIRECT(ADDRESS(2,COLUMN())),OFFSET($BN$2,0,0,ROW()-1,60),ROW()-1,FALSE))</f>
        <v/>
      </c>
      <c r="BI141" t="str">
        <f ca="1">IF(AND(ISNUMBER($BI$337),$B$185=1),$BI$337,HLOOKUP(INDIRECT(ADDRESS(2,COLUMN())),OFFSET($BN$2,0,0,ROW()-1,60),ROW()-1,FALSE))</f>
        <v/>
      </c>
      <c r="BJ141" t="str">
        <f ca="1">IF(AND(ISNUMBER($BJ$337),$B$185=1),$BJ$337,HLOOKUP(INDIRECT(ADDRESS(2,COLUMN())),OFFSET($BN$2,0,0,ROW()-1,60),ROW()-1,FALSE))</f>
        <v/>
      </c>
      <c r="BK141" t="str">
        <f ca="1">IF(AND(ISNUMBER($BK$337),$B$185=1),$BK$337,HLOOKUP(INDIRECT(ADDRESS(2,COLUMN())),OFFSET($BN$2,0,0,ROW()-1,60),ROW()-1,FALSE))</f>
        <v/>
      </c>
      <c r="BL141" t="str">
        <f ca="1">IF(AND(ISNUMBER($BL$337),$B$185=1),$BL$337,HLOOKUP(INDIRECT(ADDRESS(2,COLUMN())),OFFSET($BN$2,0,0,ROW()-1,60),ROW()-1,FALSE))</f>
        <v/>
      </c>
      <c r="BM141" t="str">
        <f ca="1">IF(AND(ISNUMBER($BM$337),$B$185=1),$BM$337,HLOOKUP(INDIRECT(ADDRESS(2,COLUMN())),OFFSET($BN$2,0,0,ROW()-1,60),ROW()-1,FALSE))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>
      <c r="A142" t="str">
        <f>"    SVB Financial Group"</f>
        <v xml:space="preserve">    SVB Financial Group</v>
      </c>
      <c r="B142" t="str">
        <f>"SIVBQ US Equity"</f>
        <v>SIVBQ US Equity</v>
      </c>
      <c r="C142" t="str">
        <f t="shared" si="16"/>
        <v>BS965</v>
      </c>
      <c r="D142" t="str">
        <f t="shared" si="17"/>
        <v>BS_COMML_MTG_SERVICING_PORTFOLIO</v>
      </c>
      <c r="E142" t="str">
        <f t="shared" si="18"/>
        <v>Dynamic</v>
      </c>
      <c r="F142" t="str">
        <f ca="1">IF(AND(ISNUMBER($F$338),$B$185=1),$F$338,HLOOKUP(INDIRECT(ADDRESS(2,COLUMN())),OFFSET($BN$2,0,0,ROW()-1,60),ROW()-1,FALSE))</f>
        <v/>
      </c>
      <c r="G142" t="str">
        <f ca="1">IF(AND(ISNUMBER($G$338),$B$185=1),$G$338,HLOOKUP(INDIRECT(ADDRESS(2,COLUMN())),OFFSET($BN$2,0,0,ROW()-1,60),ROW()-1,FALSE))</f>
        <v/>
      </c>
      <c r="H142" t="str">
        <f ca="1">IF(AND(ISNUMBER($H$338),$B$185=1),$H$338,HLOOKUP(INDIRECT(ADDRESS(2,COLUMN())),OFFSET($BN$2,0,0,ROW()-1,60),ROW()-1,FALSE))</f>
        <v/>
      </c>
      <c r="I142" t="str">
        <f ca="1">IF(AND(ISNUMBER($I$338),$B$185=1),$I$338,HLOOKUP(INDIRECT(ADDRESS(2,COLUMN())),OFFSET($BN$2,0,0,ROW()-1,60),ROW()-1,FALSE))</f>
        <v/>
      </c>
      <c r="J142" t="str">
        <f ca="1">IF(AND(ISNUMBER($J$338),$B$185=1),$J$338,HLOOKUP(INDIRECT(ADDRESS(2,COLUMN())),OFFSET($BN$2,0,0,ROW()-1,60),ROW()-1,FALSE))</f>
        <v/>
      </c>
      <c r="K142" t="str">
        <f ca="1">IF(AND(ISNUMBER($K$338),$B$185=1),$K$338,HLOOKUP(INDIRECT(ADDRESS(2,COLUMN())),OFFSET($BN$2,0,0,ROW()-1,60),ROW()-1,FALSE))</f>
        <v/>
      </c>
      <c r="L142" t="str">
        <f ca="1">IF(AND(ISNUMBER($L$338),$B$185=1),$L$338,HLOOKUP(INDIRECT(ADDRESS(2,COLUMN())),OFFSET($BN$2,0,0,ROW()-1,60),ROW()-1,FALSE))</f>
        <v/>
      </c>
      <c r="M142" t="str">
        <f ca="1">IF(AND(ISNUMBER($M$338),$B$185=1),$M$338,HLOOKUP(INDIRECT(ADDRESS(2,COLUMN())),OFFSET($BN$2,0,0,ROW()-1,60),ROW()-1,FALSE))</f>
        <v/>
      </c>
      <c r="N142" t="str">
        <f ca="1">IF(AND(ISNUMBER($N$338),$B$185=1),$N$338,HLOOKUP(INDIRECT(ADDRESS(2,COLUMN())),OFFSET($BN$2,0,0,ROW()-1,60),ROW()-1,FALSE))</f>
        <v/>
      </c>
      <c r="O142" t="str">
        <f ca="1">IF(AND(ISNUMBER($O$338),$B$185=1),$O$338,HLOOKUP(INDIRECT(ADDRESS(2,COLUMN())),OFFSET($BN$2,0,0,ROW()-1,60),ROW()-1,FALSE))</f>
        <v/>
      </c>
      <c r="P142" t="str">
        <f ca="1">IF(AND(ISNUMBER($P$338),$B$185=1),$P$338,HLOOKUP(INDIRECT(ADDRESS(2,COLUMN())),OFFSET($BN$2,0,0,ROW()-1,60),ROW()-1,FALSE))</f>
        <v/>
      </c>
      <c r="Q142" t="str">
        <f ca="1">IF(AND(ISNUMBER($Q$338),$B$185=1),$Q$338,HLOOKUP(INDIRECT(ADDRESS(2,COLUMN())),OFFSET($BN$2,0,0,ROW()-1,60),ROW()-1,FALSE))</f>
        <v/>
      </c>
      <c r="R142" t="str">
        <f ca="1">IF(AND(ISNUMBER($R$338),$B$185=1),$R$338,HLOOKUP(INDIRECT(ADDRESS(2,COLUMN())),OFFSET($BN$2,0,0,ROW()-1,60),ROW()-1,FALSE))</f>
        <v/>
      </c>
      <c r="S142" t="str">
        <f ca="1">IF(AND(ISNUMBER($S$338),$B$185=1),$S$338,HLOOKUP(INDIRECT(ADDRESS(2,COLUMN())),OFFSET($BN$2,0,0,ROW()-1,60),ROW()-1,FALSE))</f>
        <v/>
      </c>
      <c r="T142" t="str">
        <f ca="1">IF(AND(ISNUMBER($T$338),$B$185=1),$T$338,HLOOKUP(INDIRECT(ADDRESS(2,COLUMN())),OFFSET($BN$2,0,0,ROW()-1,60),ROW()-1,FALSE))</f>
        <v/>
      </c>
      <c r="U142" t="str">
        <f ca="1">IF(AND(ISNUMBER($U$338),$B$185=1),$U$338,HLOOKUP(INDIRECT(ADDRESS(2,COLUMN())),OFFSET($BN$2,0,0,ROW()-1,60),ROW()-1,FALSE))</f>
        <v/>
      </c>
      <c r="V142" t="str">
        <f ca="1">IF(AND(ISNUMBER($V$338),$B$185=1),$V$338,HLOOKUP(INDIRECT(ADDRESS(2,COLUMN())),OFFSET($BN$2,0,0,ROW()-1,60),ROW()-1,FALSE))</f>
        <v/>
      </c>
      <c r="W142" t="str">
        <f ca="1">IF(AND(ISNUMBER($W$338),$B$185=1),$W$338,HLOOKUP(INDIRECT(ADDRESS(2,COLUMN())),OFFSET($BN$2,0,0,ROW()-1,60),ROW()-1,FALSE))</f>
        <v/>
      </c>
      <c r="X142" t="str">
        <f ca="1">IF(AND(ISNUMBER($X$338),$B$185=1),$X$338,HLOOKUP(INDIRECT(ADDRESS(2,COLUMN())),OFFSET($BN$2,0,0,ROW()-1,60),ROW()-1,FALSE))</f>
        <v/>
      </c>
      <c r="Y142" t="str">
        <f ca="1">IF(AND(ISNUMBER($Y$338),$B$185=1),$Y$338,HLOOKUP(INDIRECT(ADDRESS(2,COLUMN())),OFFSET($BN$2,0,0,ROW()-1,60),ROW()-1,FALSE))</f>
        <v/>
      </c>
      <c r="Z142" t="str">
        <f ca="1">IF(AND(ISNUMBER($Z$338),$B$185=1),$Z$338,HLOOKUP(INDIRECT(ADDRESS(2,COLUMN())),OFFSET($BN$2,0,0,ROW()-1,60),ROW()-1,FALSE))</f>
        <v/>
      </c>
      <c r="AA142" t="str">
        <f ca="1">IF(AND(ISNUMBER($AA$338),$B$185=1),$AA$338,HLOOKUP(INDIRECT(ADDRESS(2,COLUMN())),OFFSET($BN$2,0,0,ROW()-1,60),ROW()-1,FALSE))</f>
        <v/>
      </c>
      <c r="AB142" t="str">
        <f ca="1">IF(AND(ISNUMBER($AB$338),$B$185=1),$AB$338,HLOOKUP(INDIRECT(ADDRESS(2,COLUMN())),OFFSET($BN$2,0,0,ROW()-1,60),ROW()-1,FALSE))</f>
        <v/>
      </c>
      <c r="AC142" t="str">
        <f ca="1">IF(AND(ISNUMBER($AC$338),$B$185=1),$AC$338,HLOOKUP(INDIRECT(ADDRESS(2,COLUMN())),OFFSET($BN$2,0,0,ROW()-1,60),ROW()-1,FALSE))</f>
        <v/>
      </c>
      <c r="AD142" t="str">
        <f ca="1">IF(AND(ISNUMBER($AD$338),$B$185=1),$AD$338,HLOOKUP(INDIRECT(ADDRESS(2,COLUMN())),OFFSET($BN$2,0,0,ROW()-1,60),ROW()-1,FALSE))</f>
        <v/>
      </c>
      <c r="AE142" t="str">
        <f ca="1">IF(AND(ISNUMBER($AE$338),$B$185=1),$AE$338,HLOOKUP(INDIRECT(ADDRESS(2,COLUMN())),OFFSET($BN$2,0,0,ROW()-1,60),ROW()-1,FALSE))</f>
        <v/>
      </c>
      <c r="AF142" t="str">
        <f ca="1">IF(AND(ISNUMBER($AF$338),$B$185=1),$AF$338,HLOOKUP(INDIRECT(ADDRESS(2,COLUMN())),OFFSET($BN$2,0,0,ROW()-1,60),ROW()-1,FALSE))</f>
        <v/>
      </c>
      <c r="AG142" t="str">
        <f ca="1">IF(AND(ISNUMBER($AG$338),$B$185=1),$AG$338,HLOOKUP(INDIRECT(ADDRESS(2,COLUMN())),OFFSET($BN$2,0,0,ROW()-1,60),ROW()-1,FALSE))</f>
        <v/>
      </c>
      <c r="AH142" t="str">
        <f ca="1">IF(AND(ISNUMBER($AH$338),$B$185=1),$AH$338,HLOOKUP(INDIRECT(ADDRESS(2,COLUMN())),OFFSET($BN$2,0,0,ROW()-1,60),ROW()-1,FALSE))</f>
        <v/>
      </c>
      <c r="AI142" t="str">
        <f ca="1">IF(AND(ISNUMBER($AI$338),$B$185=1),$AI$338,HLOOKUP(INDIRECT(ADDRESS(2,COLUMN())),OFFSET($BN$2,0,0,ROW()-1,60),ROW()-1,FALSE))</f>
        <v/>
      </c>
      <c r="AJ142" t="str">
        <f ca="1">IF(AND(ISNUMBER($AJ$338),$B$185=1),$AJ$338,HLOOKUP(INDIRECT(ADDRESS(2,COLUMN())),OFFSET($BN$2,0,0,ROW()-1,60),ROW()-1,FALSE))</f>
        <v/>
      </c>
      <c r="AK142" t="str">
        <f ca="1">IF(AND(ISNUMBER($AK$338),$B$185=1),$AK$338,HLOOKUP(INDIRECT(ADDRESS(2,COLUMN())),OFFSET($BN$2,0,0,ROW()-1,60),ROW()-1,FALSE))</f>
        <v/>
      </c>
      <c r="AL142" t="str">
        <f ca="1">IF(AND(ISNUMBER($AL$338),$B$185=1),$AL$338,HLOOKUP(INDIRECT(ADDRESS(2,COLUMN())),OFFSET($BN$2,0,0,ROW()-1,60),ROW()-1,FALSE))</f>
        <v/>
      </c>
      <c r="AM142" t="str">
        <f ca="1">IF(AND(ISNUMBER($AM$338),$B$185=1),$AM$338,HLOOKUP(INDIRECT(ADDRESS(2,COLUMN())),OFFSET($BN$2,0,0,ROW()-1,60),ROW()-1,FALSE))</f>
        <v/>
      </c>
      <c r="AN142" t="str">
        <f ca="1">IF(AND(ISNUMBER($AN$338),$B$185=1),$AN$338,HLOOKUP(INDIRECT(ADDRESS(2,COLUMN())),OFFSET($BN$2,0,0,ROW()-1,60),ROW()-1,FALSE))</f>
        <v/>
      </c>
      <c r="AO142" t="str">
        <f ca="1">IF(AND(ISNUMBER($AO$338),$B$185=1),$AO$338,HLOOKUP(INDIRECT(ADDRESS(2,COLUMN())),OFFSET($BN$2,0,0,ROW()-1,60),ROW()-1,FALSE))</f>
        <v/>
      </c>
      <c r="AP142" t="str">
        <f ca="1">IF(AND(ISNUMBER($AP$338),$B$185=1),$AP$338,HLOOKUP(INDIRECT(ADDRESS(2,COLUMN())),OFFSET($BN$2,0,0,ROW()-1,60),ROW()-1,FALSE))</f>
        <v/>
      </c>
      <c r="AQ142" t="str">
        <f ca="1">IF(AND(ISNUMBER($AQ$338),$B$185=1),$AQ$338,HLOOKUP(INDIRECT(ADDRESS(2,COLUMN())),OFFSET($BN$2,0,0,ROW()-1,60),ROW()-1,FALSE))</f>
        <v/>
      </c>
      <c r="AR142" t="str">
        <f ca="1">IF(AND(ISNUMBER($AR$338),$B$185=1),$AR$338,HLOOKUP(INDIRECT(ADDRESS(2,COLUMN())),OFFSET($BN$2,0,0,ROW()-1,60),ROW()-1,FALSE))</f>
        <v/>
      </c>
      <c r="AS142" t="str">
        <f ca="1">IF(AND(ISNUMBER($AS$338),$B$185=1),$AS$338,HLOOKUP(INDIRECT(ADDRESS(2,COLUMN())),OFFSET($BN$2,0,0,ROW()-1,60),ROW()-1,FALSE))</f>
        <v/>
      </c>
      <c r="AT142" t="str">
        <f ca="1">IF(AND(ISNUMBER($AT$338),$B$185=1),$AT$338,HLOOKUP(INDIRECT(ADDRESS(2,COLUMN())),OFFSET($BN$2,0,0,ROW()-1,60),ROW()-1,FALSE))</f>
        <v/>
      </c>
      <c r="AU142" t="str">
        <f ca="1">IF(AND(ISNUMBER($AU$338),$B$185=1),$AU$338,HLOOKUP(INDIRECT(ADDRESS(2,COLUMN())),OFFSET($BN$2,0,0,ROW()-1,60),ROW()-1,FALSE))</f>
        <v/>
      </c>
      <c r="AV142" t="str">
        <f ca="1">IF(AND(ISNUMBER($AV$338),$B$185=1),$AV$338,HLOOKUP(INDIRECT(ADDRESS(2,COLUMN())),OFFSET($BN$2,0,0,ROW()-1,60),ROW()-1,FALSE))</f>
        <v/>
      </c>
      <c r="AW142" t="str">
        <f ca="1">IF(AND(ISNUMBER($AW$338),$B$185=1),$AW$338,HLOOKUP(INDIRECT(ADDRESS(2,COLUMN())),OFFSET($BN$2,0,0,ROW()-1,60),ROW()-1,FALSE))</f>
        <v/>
      </c>
      <c r="AX142" t="str">
        <f ca="1">IF(AND(ISNUMBER($AX$338),$B$185=1),$AX$338,HLOOKUP(INDIRECT(ADDRESS(2,COLUMN())),OFFSET($BN$2,0,0,ROW()-1,60),ROW()-1,FALSE))</f>
        <v/>
      </c>
      <c r="AY142" t="str">
        <f ca="1">IF(AND(ISNUMBER($AY$338),$B$185=1),$AY$338,HLOOKUP(INDIRECT(ADDRESS(2,COLUMN())),OFFSET($BN$2,0,0,ROW()-1,60),ROW()-1,FALSE))</f>
        <v/>
      </c>
      <c r="AZ142" t="str">
        <f ca="1">IF(AND(ISNUMBER($AZ$338),$B$185=1),$AZ$338,HLOOKUP(INDIRECT(ADDRESS(2,COLUMN())),OFFSET($BN$2,0,0,ROW()-1,60),ROW()-1,FALSE))</f>
        <v/>
      </c>
      <c r="BA142" t="str">
        <f ca="1">IF(AND(ISNUMBER($BA$338),$B$185=1),$BA$338,HLOOKUP(INDIRECT(ADDRESS(2,COLUMN())),OFFSET($BN$2,0,0,ROW()-1,60),ROW()-1,FALSE))</f>
        <v/>
      </c>
      <c r="BB142" t="str">
        <f ca="1">IF(AND(ISNUMBER($BB$338),$B$185=1),$BB$338,HLOOKUP(INDIRECT(ADDRESS(2,COLUMN())),OFFSET($BN$2,0,0,ROW()-1,60),ROW()-1,FALSE))</f>
        <v/>
      </c>
      <c r="BC142" t="str">
        <f ca="1">IF(AND(ISNUMBER($BC$338),$B$185=1),$BC$338,HLOOKUP(INDIRECT(ADDRESS(2,COLUMN())),OFFSET($BN$2,0,0,ROW()-1,60),ROW()-1,FALSE))</f>
        <v/>
      </c>
      <c r="BD142" t="str">
        <f ca="1">IF(AND(ISNUMBER($BD$338),$B$185=1),$BD$338,HLOOKUP(INDIRECT(ADDRESS(2,COLUMN())),OFFSET($BN$2,0,0,ROW()-1,60),ROW()-1,FALSE))</f>
        <v/>
      </c>
      <c r="BE142" t="str">
        <f ca="1">IF(AND(ISNUMBER($BE$338),$B$185=1),$BE$338,HLOOKUP(INDIRECT(ADDRESS(2,COLUMN())),OFFSET($BN$2,0,0,ROW()-1,60),ROW()-1,FALSE))</f>
        <v/>
      </c>
      <c r="BF142" t="str">
        <f ca="1">IF(AND(ISNUMBER($BF$338),$B$185=1),$BF$338,HLOOKUP(INDIRECT(ADDRESS(2,COLUMN())),OFFSET($BN$2,0,0,ROW()-1,60),ROW()-1,FALSE))</f>
        <v/>
      </c>
      <c r="BG142" t="str">
        <f ca="1">IF(AND(ISNUMBER($BG$338),$B$185=1),$BG$338,HLOOKUP(INDIRECT(ADDRESS(2,COLUMN())),OFFSET($BN$2,0,0,ROW()-1,60),ROW()-1,FALSE))</f>
        <v/>
      </c>
      <c r="BH142" t="str">
        <f ca="1">IF(AND(ISNUMBER($BH$338),$B$185=1),$BH$338,HLOOKUP(INDIRECT(ADDRESS(2,COLUMN())),OFFSET($BN$2,0,0,ROW()-1,60),ROW()-1,FALSE))</f>
        <v/>
      </c>
      <c r="BI142" t="str">
        <f ca="1">IF(AND(ISNUMBER($BI$338),$B$185=1),$BI$338,HLOOKUP(INDIRECT(ADDRESS(2,COLUMN())),OFFSET($BN$2,0,0,ROW()-1,60),ROW()-1,FALSE))</f>
        <v/>
      </c>
      <c r="BJ142" t="str">
        <f ca="1">IF(AND(ISNUMBER($BJ$338),$B$185=1),$BJ$338,HLOOKUP(INDIRECT(ADDRESS(2,COLUMN())),OFFSET($BN$2,0,0,ROW()-1,60),ROW()-1,FALSE))</f>
        <v/>
      </c>
      <c r="BK142" t="str">
        <f ca="1">IF(AND(ISNUMBER($BK$338),$B$185=1),$BK$338,HLOOKUP(INDIRECT(ADDRESS(2,COLUMN())),OFFSET($BN$2,0,0,ROW()-1,60),ROW()-1,FALSE))</f>
        <v/>
      </c>
      <c r="BL142" t="str">
        <f ca="1">IF(AND(ISNUMBER($BL$338),$B$185=1),$BL$338,HLOOKUP(INDIRECT(ADDRESS(2,COLUMN())),OFFSET($BN$2,0,0,ROW()-1,60),ROW()-1,FALSE))</f>
        <v/>
      </c>
      <c r="BM142" t="str">
        <f ca="1">IF(AND(ISNUMBER($BM$338),$B$185=1),$BM$338,HLOOKUP(INDIRECT(ADDRESS(2,COLUMN())),OFFSET($BN$2,0,0,ROW()-1,60),ROW()-1,FALSE))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  <c r="BT142" t="str">
        <f>""</f>
        <v/>
      </c>
      <c r="BU142" t="str">
        <f>""</f>
        <v/>
      </c>
      <c r="BV142" t="str">
        <f>""</f>
        <v/>
      </c>
      <c r="BW142" t="str">
        <f>""</f>
        <v/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  <c r="CI142" t="str">
        <f>""</f>
        <v/>
      </c>
      <c r="CJ142" t="str">
        <f>""</f>
        <v/>
      </c>
      <c r="CK142" t="str">
        <f>""</f>
        <v/>
      </c>
      <c r="CL142" t="str">
        <f>""</f>
        <v/>
      </c>
      <c r="CM142" t="str">
        <f>""</f>
        <v/>
      </c>
      <c r="CN142" t="str">
        <f>""</f>
        <v/>
      </c>
      <c r="CO142" t="str">
        <f>""</f>
        <v/>
      </c>
      <c r="CP142" t="str">
        <f>""</f>
        <v/>
      </c>
      <c r="CQ142" t="str">
        <f>""</f>
        <v/>
      </c>
      <c r="CR142" t="str">
        <f>""</f>
        <v/>
      </c>
      <c r="CS142" t="str">
        <f>""</f>
        <v/>
      </c>
      <c r="CT142" t="str">
        <f>""</f>
        <v/>
      </c>
      <c r="CU142" t="str">
        <f>""</f>
        <v/>
      </c>
      <c r="CV142" t="str">
        <f>""</f>
        <v/>
      </c>
      <c r="CW142" t="str">
        <f>""</f>
        <v/>
      </c>
      <c r="CX142" t="str">
        <f>""</f>
        <v/>
      </c>
      <c r="CY142" t="str">
        <f>""</f>
        <v/>
      </c>
      <c r="CZ142" t="str">
        <f>""</f>
        <v/>
      </c>
      <c r="DA142" t="str">
        <f>""</f>
        <v/>
      </c>
      <c r="DB142" t="str">
        <f>""</f>
        <v/>
      </c>
      <c r="DC142" t="str">
        <f>""</f>
        <v/>
      </c>
      <c r="DD142" t="str">
        <f>""</f>
        <v/>
      </c>
      <c r="DE142" t="str">
        <f>""</f>
        <v/>
      </c>
      <c r="DF142" t="str">
        <f>""</f>
        <v/>
      </c>
      <c r="DG142" t="str">
        <f>""</f>
        <v/>
      </c>
      <c r="DH142" t="str">
        <f>""</f>
        <v/>
      </c>
      <c r="DI142" t="str">
        <f>""</f>
        <v/>
      </c>
      <c r="DJ142" t="str">
        <f>""</f>
        <v/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>
      <c r="A143" t="str">
        <f>"    Truist Financial Corp"</f>
        <v xml:space="preserve">    Truist Financial Corp</v>
      </c>
      <c r="B143" t="str">
        <f>"TFC US Equity"</f>
        <v>TFC US Equity</v>
      </c>
      <c r="C143" t="str">
        <f t="shared" si="16"/>
        <v>BS965</v>
      </c>
      <c r="D143" t="str">
        <f t="shared" si="17"/>
        <v>BS_COMML_MTG_SERVICING_PORTFOLIO</v>
      </c>
      <c r="E143" t="str">
        <f t="shared" si="18"/>
        <v>Dynamic</v>
      </c>
      <c r="F143" t="str">
        <f ca="1">IF(AND(ISNUMBER($F$339),$B$185=1),$F$339,HLOOKUP(INDIRECT(ADDRESS(2,COLUMN())),OFFSET($BN$2,0,0,ROW()-1,60),ROW()-1,FALSE))</f>
        <v/>
      </c>
      <c r="G143" t="str">
        <f ca="1">IF(AND(ISNUMBER($G$339),$B$185=1),$G$339,HLOOKUP(INDIRECT(ADDRESS(2,COLUMN())),OFFSET($BN$2,0,0,ROW()-1,60),ROW()-1,FALSE))</f>
        <v/>
      </c>
      <c r="H143" t="str">
        <f ca="1">IF(AND(ISNUMBER($H$339),$B$185=1),$H$339,HLOOKUP(INDIRECT(ADDRESS(2,COLUMN())),OFFSET($BN$2,0,0,ROW()-1,60),ROW()-1,FALSE))</f>
        <v/>
      </c>
      <c r="I143" t="str">
        <f ca="1">IF(AND(ISNUMBER($I$339),$B$185=1),$I$339,HLOOKUP(INDIRECT(ADDRESS(2,COLUMN())),OFFSET($BN$2,0,0,ROW()-1,60),ROW()-1,FALSE))</f>
        <v/>
      </c>
      <c r="J143" t="str">
        <f ca="1">IF(AND(ISNUMBER($J$339),$B$185=1),$J$339,HLOOKUP(INDIRECT(ADDRESS(2,COLUMN())),OFFSET($BN$2,0,0,ROW()-1,60),ROW()-1,FALSE))</f>
        <v/>
      </c>
      <c r="K143" t="str">
        <f ca="1">IF(AND(ISNUMBER($K$339),$B$185=1),$K$339,HLOOKUP(INDIRECT(ADDRESS(2,COLUMN())),OFFSET($BN$2,0,0,ROW()-1,60),ROW()-1,FALSE))</f>
        <v/>
      </c>
      <c r="L143" t="str">
        <f ca="1">IF(AND(ISNUMBER($L$339),$B$185=1),$L$339,HLOOKUP(INDIRECT(ADDRESS(2,COLUMN())),OFFSET($BN$2,0,0,ROW()-1,60),ROW()-1,FALSE))</f>
        <v/>
      </c>
      <c r="M143" t="str">
        <f ca="1">IF(AND(ISNUMBER($M$339),$B$185=1),$M$339,HLOOKUP(INDIRECT(ADDRESS(2,COLUMN())),OFFSET($BN$2,0,0,ROW()-1,60),ROW()-1,FALSE))</f>
        <v/>
      </c>
      <c r="N143" t="str">
        <f ca="1">IF(AND(ISNUMBER($N$339),$B$185=1),$N$339,HLOOKUP(INDIRECT(ADDRESS(2,COLUMN())),OFFSET($BN$2,0,0,ROW()-1,60),ROW()-1,FALSE))</f>
        <v/>
      </c>
      <c r="O143" t="str">
        <f ca="1">IF(AND(ISNUMBER($O$339),$B$185=1),$O$339,HLOOKUP(INDIRECT(ADDRESS(2,COLUMN())),OFFSET($BN$2,0,0,ROW()-1,60),ROW()-1,FALSE))</f>
        <v/>
      </c>
      <c r="P143" t="str">
        <f ca="1">IF(AND(ISNUMBER($P$339),$B$185=1),$P$339,HLOOKUP(INDIRECT(ADDRESS(2,COLUMN())),OFFSET($BN$2,0,0,ROW()-1,60),ROW()-1,FALSE))</f>
        <v/>
      </c>
      <c r="Q143" t="str">
        <f ca="1">IF(AND(ISNUMBER($Q$339),$B$185=1),$Q$339,HLOOKUP(INDIRECT(ADDRESS(2,COLUMN())),OFFSET($BN$2,0,0,ROW()-1,60),ROW()-1,FALSE))</f>
        <v/>
      </c>
      <c r="R143" t="str">
        <f ca="1">IF(AND(ISNUMBER($R$339),$B$185=1),$R$339,HLOOKUP(INDIRECT(ADDRESS(2,COLUMN())),OFFSET($BN$2,0,0,ROW()-1,60),ROW()-1,FALSE))</f>
        <v/>
      </c>
      <c r="S143" t="str">
        <f ca="1">IF(AND(ISNUMBER($S$339),$B$185=1),$S$339,HLOOKUP(INDIRECT(ADDRESS(2,COLUMN())),OFFSET($BN$2,0,0,ROW()-1,60),ROW()-1,FALSE))</f>
        <v/>
      </c>
      <c r="T143" t="str">
        <f ca="1">IF(AND(ISNUMBER($T$339),$B$185=1),$T$339,HLOOKUP(INDIRECT(ADDRESS(2,COLUMN())),OFFSET($BN$2,0,0,ROW()-1,60),ROW()-1,FALSE))</f>
        <v/>
      </c>
      <c r="U143" t="str">
        <f ca="1">IF(AND(ISNUMBER($U$339),$B$185=1),$U$339,HLOOKUP(INDIRECT(ADDRESS(2,COLUMN())),OFFSET($BN$2,0,0,ROW()-1,60),ROW()-1,FALSE))</f>
        <v/>
      </c>
      <c r="V143" t="str">
        <f ca="1">IF(AND(ISNUMBER($V$339),$B$185=1),$V$339,HLOOKUP(INDIRECT(ADDRESS(2,COLUMN())),OFFSET($BN$2,0,0,ROW()-1,60),ROW()-1,FALSE))</f>
        <v/>
      </c>
      <c r="W143" t="str">
        <f ca="1">IF(AND(ISNUMBER($W$339),$B$185=1),$W$339,HLOOKUP(INDIRECT(ADDRESS(2,COLUMN())),OFFSET($BN$2,0,0,ROW()-1,60),ROW()-1,FALSE))</f>
        <v/>
      </c>
      <c r="X143" t="str">
        <f ca="1">IF(AND(ISNUMBER($X$339),$B$185=1),$X$339,HLOOKUP(INDIRECT(ADDRESS(2,COLUMN())),OFFSET($BN$2,0,0,ROW()-1,60),ROW()-1,FALSE))</f>
        <v/>
      </c>
      <c r="Y143" t="str">
        <f ca="1">IF(AND(ISNUMBER($Y$339),$B$185=1),$Y$339,HLOOKUP(INDIRECT(ADDRESS(2,COLUMN())),OFFSET($BN$2,0,0,ROW()-1,60),ROW()-1,FALSE))</f>
        <v/>
      </c>
      <c r="Z143" t="str">
        <f ca="1">IF(AND(ISNUMBER($Z$339),$B$185=1),$Z$339,HLOOKUP(INDIRECT(ADDRESS(2,COLUMN())),OFFSET($BN$2,0,0,ROW()-1,60),ROW()-1,FALSE))</f>
        <v/>
      </c>
      <c r="AA143" t="str">
        <f ca="1">IF(AND(ISNUMBER($AA$339),$B$185=1),$AA$339,HLOOKUP(INDIRECT(ADDRESS(2,COLUMN())),OFFSET($BN$2,0,0,ROW()-1,60),ROW()-1,FALSE))</f>
        <v/>
      </c>
      <c r="AB143" t="str">
        <f ca="1">IF(AND(ISNUMBER($AB$339),$B$185=1),$AB$339,HLOOKUP(INDIRECT(ADDRESS(2,COLUMN())),OFFSET($BN$2,0,0,ROW()-1,60),ROW()-1,FALSE))</f>
        <v/>
      </c>
      <c r="AC143" t="str">
        <f ca="1">IF(AND(ISNUMBER($AC$339),$B$185=1),$AC$339,HLOOKUP(INDIRECT(ADDRESS(2,COLUMN())),OFFSET($BN$2,0,0,ROW()-1,60),ROW()-1,FALSE))</f>
        <v/>
      </c>
      <c r="AD143" t="str">
        <f ca="1">IF(AND(ISNUMBER($AD$339),$B$185=1),$AD$339,HLOOKUP(INDIRECT(ADDRESS(2,COLUMN())),OFFSET($BN$2,0,0,ROW()-1,60),ROW()-1,FALSE))</f>
        <v/>
      </c>
      <c r="AE143" t="str">
        <f ca="1">IF(AND(ISNUMBER($AE$339),$B$185=1),$AE$339,HLOOKUP(INDIRECT(ADDRESS(2,COLUMN())),OFFSET($BN$2,0,0,ROW()-1,60),ROW()-1,FALSE))</f>
        <v/>
      </c>
      <c r="AF143" t="str">
        <f ca="1">IF(AND(ISNUMBER($AF$339),$B$185=1),$AF$339,HLOOKUP(INDIRECT(ADDRESS(2,COLUMN())),OFFSET($BN$2,0,0,ROW()-1,60),ROW()-1,FALSE))</f>
        <v/>
      </c>
      <c r="AG143" t="str">
        <f ca="1">IF(AND(ISNUMBER($AG$339),$B$185=1),$AG$339,HLOOKUP(INDIRECT(ADDRESS(2,COLUMN())),OFFSET($BN$2,0,0,ROW()-1,60),ROW()-1,FALSE))</f>
        <v/>
      </c>
      <c r="AH143" t="str">
        <f ca="1">IF(AND(ISNUMBER($AH$339),$B$185=1),$AH$339,HLOOKUP(INDIRECT(ADDRESS(2,COLUMN())),OFFSET($BN$2,0,0,ROW()-1,60),ROW()-1,FALSE))</f>
        <v/>
      </c>
      <c r="AI143" t="str">
        <f ca="1">IF(AND(ISNUMBER($AI$339),$B$185=1),$AI$339,HLOOKUP(INDIRECT(ADDRESS(2,COLUMN())),OFFSET($BN$2,0,0,ROW()-1,60),ROW()-1,FALSE))</f>
        <v/>
      </c>
      <c r="AJ143" t="str">
        <f ca="1">IF(AND(ISNUMBER($AJ$339),$B$185=1),$AJ$339,HLOOKUP(INDIRECT(ADDRESS(2,COLUMN())),OFFSET($BN$2,0,0,ROW()-1,60),ROW()-1,FALSE))</f>
        <v/>
      </c>
      <c r="AK143" t="str">
        <f ca="1">IF(AND(ISNUMBER($AK$339),$B$185=1),$AK$339,HLOOKUP(INDIRECT(ADDRESS(2,COLUMN())),OFFSET($BN$2,0,0,ROW()-1,60),ROW()-1,FALSE))</f>
        <v/>
      </c>
      <c r="AL143" t="str">
        <f ca="1">IF(AND(ISNUMBER($AL$339),$B$185=1),$AL$339,HLOOKUP(INDIRECT(ADDRESS(2,COLUMN())),OFFSET($BN$2,0,0,ROW()-1,60),ROW()-1,FALSE))</f>
        <v/>
      </c>
      <c r="AM143" t="str">
        <f ca="1">IF(AND(ISNUMBER($AM$339),$B$185=1),$AM$339,HLOOKUP(INDIRECT(ADDRESS(2,COLUMN())),OFFSET($BN$2,0,0,ROW()-1,60),ROW()-1,FALSE))</f>
        <v/>
      </c>
      <c r="AN143" t="str">
        <f ca="1">IF(AND(ISNUMBER($AN$339),$B$185=1),$AN$339,HLOOKUP(INDIRECT(ADDRESS(2,COLUMN())),OFFSET($BN$2,0,0,ROW()-1,60),ROW()-1,FALSE))</f>
        <v/>
      </c>
      <c r="AO143" t="str">
        <f ca="1">IF(AND(ISNUMBER($AO$339),$B$185=1),$AO$339,HLOOKUP(INDIRECT(ADDRESS(2,COLUMN())),OFFSET($BN$2,0,0,ROW()-1,60),ROW()-1,FALSE))</f>
        <v/>
      </c>
      <c r="AP143" t="str">
        <f ca="1">IF(AND(ISNUMBER($AP$339),$B$185=1),$AP$339,HLOOKUP(INDIRECT(ADDRESS(2,COLUMN())),OFFSET($BN$2,0,0,ROW()-1,60),ROW()-1,FALSE))</f>
        <v/>
      </c>
      <c r="AQ143" t="str">
        <f ca="1">IF(AND(ISNUMBER($AQ$339),$B$185=1),$AQ$339,HLOOKUP(INDIRECT(ADDRESS(2,COLUMN())),OFFSET($BN$2,0,0,ROW()-1,60),ROW()-1,FALSE))</f>
        <v/>
      </c>
      <c r="AR143" t="str">
        <f ca="1">IF(AND(ISNUMBER($AR$339),$B$185=1),$AR$339,HLOOKUP(INDIRECT(ADDRESS(2,COLUMN())),OFFSET($BN$2,0,0,ROW()-1,60),ROW()-1,FALSE))</f>
        <v/>
      </c>
      <c r="AS143" t="str">
        <f ca="1">IF(AND(ISNUMBER($AS$339),$B$185=1),$AS$339,HLOOKUP(INDIRECT(ADDRESS(2,COLUMN())),OFFSET($BN$2,0,0,ROW()-1,60),ROW()-1,FALSE))</f>
        <v/>
      </c>
      <c r="AT143" t="str">
        <f ca="1">IF(AND(ISNUMBER($AT$339),$B$185=1),$AT$339,HLOOKUP(INDIRECT(ADDRESS(2,COLUMN())),OFFSET($BN$2,0,0,ROW()-1,60),ROW()-1,FALSE))</f>
        <v/>
      </c>
      <c r="AU143" t="str">
        <f ca="1">IF(AND(ISNUMBER($AU$339),$B$185=1),$AU$339,HLOOKUP(INDIRECT(ADDRESS(2,COLUMN())),OFFSET($BN$2,0,0,ROW()-1,60),ROW()-1,FALSE))</f>
        <v/>
      </c>
      <c r="AV143" t="str">
        <f ca="1">IF(AND(ISNUMBER($AV$339),$B$185=1),$AV$339,HLOOKUP(INDIRECT(ADDRESS(2,COLUMN())),OFFSET($BN$2,0,0,ROW()-1,60),ROW()-1,FALSE))</f>
        <v/>
      </c>
      <c r="AW143" t="str">
        <f ca="1">IF(AND(ISNUMBER($AW$339),$B$185=1),$AW$339,HLOOKUP(INDIRECT(ADDRESS(2,COLUMN())),OFFSET($BN$2,0,0,ROW()-1,60),ROW()-1,FALSE))</f>
        <v/>
      </c>
      <c r="AX143" t="str">
        <f ca="1">IF(AND(ISNUMBER($AX$339),$B$185=1),$AX$339,HLOOKUP(INDIRECT(ADDRESS(2,COLUMN())),OFFSET($BN$2,0,0,ROW()-1,60),ROW()-1,FALSE))</f>
        <v/>
      </c>
      <c r="AY143" t="str">
        <f ca="1">IF(AND(ISNUMBER($AY$339),$B$185=1),$AY$339,HLOOKUP(INDIRECT(ADDRESS(2,COLUMN())),OFFSET($BN$2,0,0,ROW()-1,60),ROW()-1,FALSE))</f>
        <v/>
      </c>
      <c r="AZ143" t="str">
        <f ca="1">IF(AND(ISNUMBER($AZ$339),$B$185=1),$AZ$339,HLOOKUP(INDIRECT(ADDRESS(2,COLUMN())),OFFSET($BN$2,0,0,ROW()-1,60),ROW()-1,FALSE))</f>
        <v/>
      </c>
      <c r="BA143" t="str">
        <f ca="1">IF(AND(ISNUMBER($BA$339),$B$185=1),$BA$339,HLOOKUP(INDIRECT(ADDRESS(2,COLUMN())),OFFSET($BN$2,0,0,ROW()-1,60),ROW()-1,FALSE))</f>
        <v/>
      </c>
      <c r="BB143" t="str">
        <f ca="1">IF(AND(ISNUMBER($BB$339),$B$185=1),$BB$339,HLOOKUP(INDIRECT(ADDRESS(2,COLUMN())),OFFSET($BN$2,0,0,ROW()-1,60),ROW()-1,FALSE))</f>
        <v/>
      </c>
      <c r="BC143" t="str">
        <f ca="1">IF(AND(ISNUMBER($BC$339),$B$185=1),$BC$339,HLOOKUP(INDIRECT(ADDRESS(2,COLUMN())),OFFSET($BN$2,0,0,ROW()-1,60),ROW()-1,FALSE))</f>
        <v/>
      </c>
      <c r="BD143" t="str">
        <f ca="1">IF(AND(ISNUMBER($BD$339),$B$185=1),$BD$339,HLOOKUP(INDIRECT(ADDRESS(2,COLUMN())),OFFSET($BN$2,0,0,ROW()-1,60),ROW()-1,FALSE))</f>
        <v/>
      </c>
      <c r="BE143" t="str">
        <f ca="1">IF(AND(ISNUMBER($BE$339),$B$185=1),$BE$339,HLOOKUP(INDIRECT(ADDRESS(2,COLUMN())),OFFSET($BN$2,0,0,ROW()-1,60),ROW()-1,FALSE))</f>
        <v/>
      </c>
      <c r="BF143" t="str">
        <f ca="1">IF(AND(ISNUMBER($BF$339),$B$185=1),$BF$339,HLOOKUP(INDIRECT(ADDRESS(2,COLUMN())),OFFSET($BN$2,0,0,ROW()-1,60),ROW()-1,FALSE))</f>
        <v/>
      </c>
      <c r="BG143" t="str">
        <f ca="1">IF(AND(ISNUMBER($BG$339),$B$185=1),$BG$339,HLOOKUP(INDIRECT(ADDRESS(2,COLUMN())),OFFSET($BN$2,0,0,ROW()-1,60),ROW()-1,FALSE))</f>
        <v/>
      </c>
      <c r="BH143" t="str">
        <f ca="1">IF(AND(ISNUMBER($BH$339),$B$185=1),$BH$339,HLOOKUP(INDIRECT(ADDRESS(2,COLUMN())),OFFSET($BN$2,0,0,ROW()-1,60),ROW()-1,FALSE))</f>
        <v/>
      </c>
      <c r="BI143" t="str">
        <f ca="1">IF(AND(ISNUMBER($BI$339),$B$185=1),$BI$339,HLOOKUP(INDIRECT(ADDRESS(2,COLUMN())),OFFSET($BN$2,0,0,ROW()-1,60),ROW()-1,FALSE))</f>
        <v/>
      </c>
      <c r="BJ143" t="str">
        <f ca="1">IF(AND(ISNUMBER($BJ$339),$B$185=1),$BJ$339,HLOOKUP(INDIRECT(ADDRESS(2,COLUMN())),OFFSET($BN$2,0,0,ROW()-1,60),ROW()-1,FALSE))</f>
        <v/>
      </c>
      <c r="BK143" t="str">
        <f ca="1">IF(AND(ISNUMBER($BK$339),$B$185=1),$BK$339,HLOOKUP(INDIRECT(ADDRESS(2,COLUMN())),OFFSET($BN$2,0,0,ROW()-1,60),ROW()-1,FALSE))</f>
        <v/>
      </c>
      <c r="BL143" t="str">
        <f ca="1">IF(AND(ISNUMBER($BL$339),$B$185=1),$BL$339,HLOOKUP(INDIRECT(ADDRESS(2,COLUMN())),OFFSET($BN$2,0,0,ROW()-1,60),ROW()-1,FALSE))</f>
        <v/>
      </c>
      <c r="BM143" t="str">
        <f ca="1">IF(AND(ISNUMBER($BM$339),$B$185=1),$BM$339,HLOOKUP(INDIRECT(ADDRESS(2,COLUMN())),OFFSET($BN$2,0,0,ROW()-1,60),ROW()-1,FALSE))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  <c r="BT143" t="str">
        <f>""</f>
        <v/>
      </c>
      <c r="BU143" t="str">
        <f>""</f>
        <v/>
      </c>
      <c r="BV143" t="str">
        <f>""</f>
        <v/>
      </c>
      <c r="BW143" t="str">
        <f>""</f>
        <v/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  <c r="CI143" t="str">
        <f>""</f>
        <v/>
      </c>
      <c r="CJ143" t="str">
        <f>""</f>
        <v/>
      </c>
      <c r="CK143" t="str">
        <f>""</f>
        <v/>
      </c>
      <c r="CL143" t="str">
        <f>""</f>
        <v/>
      </c>
      <c r="CM143" t="str">
        <f>""</f>
        <v/>
      </c>
      <c r="CN143" t="str">
        <f>""</f>
        <v/>
      </c>
      <c r="CO143" t="str">
        <f>""</f>
        <v/>
      </c>
      <c r="CP143" t="str">
        <f>""</f>
        <v/>
      </c>
      <c r="CQ143" t="str">
        <f>""</f>
        <v/>
      </c>
      <c r="CR143" t="str">
        <f>""</f>
        <v/>
      </c>
      <c r="CS143" t="str">
        <f>""</f>
        <v/>
      </c>
      <c r="CT143" t="str">
        <f>""</f>
        <v/>
      </c>
      <c r="CU143" t="str">
        <f>""</f>
        <v/>
      </c>
      <c r="CV143" t="str">
        <f>""</f>
        <v/>
      </c>
      <c r="CW143" t="str">
        <f>""</f>
        <v/>
      </c>
      <c r="CX143" t="str">
        <f>""</f>
        <v/>
      </c>
      <c r="CY143" t="str">
        <f>""</f>
        <v/>
      </c>
      <c r="CZ143" t="str">
        <f>""</f>
        <v/>
      </c>
      <c r="DA143" t="str">
        <f>""</f>
        <v/>
      </c>
      <c r="DB143" t="str">
        <f>""</f>
        <v/>
      </c>
      <c r="DC143" t="str">
        <f>""</f>
        <v/>
      </c>
      <c r="DD143" t="str">
        <f>""</f>
        <v/>
      </c>
      <c r="DE143" t="str">
        <f>""</f>
        <v/>
      </c>
      <c r="DF143" t="str">
        <f>""</f>
        <v/>
      </c>
      <c r="DG143" t="str">
        <f>""</f>
        <v/>
      </c>
      <c r="DH143" t="str">
        <f>""</f>
        <v/>
      </c>
      <c r="DI143" t="str">
        <f>""</f>
        <v/>
      </c>
      <c r="DJ143" t="str">
        <f>""</f>
        <v/>
      </c>
      <c r="DK143" t="str">
        <f>""</f>
        <v/>
      </c>
      <c r="DL143" t="str">
        <f>""</f>
        <v/>
      </c>
      <c r="DM143" t="str">
        <f>""</f>
        <v/>
      </c>
      <c r="DN143" t="str">
        <f>""</f>
        <v/>
      </c>
      <c r="DO143" t="str">
        <f>""</f>
        <v/>
      </c>
      <c r="DP143" t="str">
        <f>""</f>
        <v/>
      </c>
      <c r="DQ143" t="str">
        <f>""</f>
        <v/>
      </c>
      <c r="DR143" t="str">
        <f>""</f>
        <v/>
      </c>
      <c r="DS143" t="str">
        <f>""</f>
        <v/>
      </c>
      <c r="DT143" t="str">
        <f>""</f>
        <v/>
      </c>
      <c r="DU143" t="str">
        <f>""</f>
        <v/>
      </c>
    </row>
    <row r="144" spans="1:125">
      <c r="A144" t="str">
        <f>"    US Bancorp"</f>
        <v xml:space="preserve">    US Bancorp</v>
      </c>
      <c r="B144" t="str">
        <f>"USB US Equity"</f>
        <v>USB US Equity</v>
      </c>
      <c r="C144" t="str">
        <f t="shared" si="16"/>
        <v>BS965</v>
      </c>
      <c r="D144" t="str">
        <f t="shared" si="17"/>
        <v>BS_COMML_MTG_SERVICING_PORTFOLIO</v>
      </c>
      <c r="E144" t="str">
        <f t="shared" si="18"/>
        <v>Dynamic</v>
      </c>
      <c r="F144" t="str">
        <f ca="1">IF(AND(ISNUMBER($F$340),$B$185=1),$F$340,HLOOKUP(INDIRECT(ADDRESS(2,COLUMN())),OFFSET($BN$2,0,0,ROW()-1,60),ROW()-1,FALSE))</f>
        <v/>
      </c>
      <c r="G144" t="str">
        <f ca="1">IF(AND(ISNUMBER($G$340),$B$185=1),$G$340,HLOOKUP(INDIRECT(ADDRESS(2,COLUMN())),OFFSET($BN$2,0,0,ROW()-1,60),ROW()-1,FALSE))</f>
        <v/>
      </c>
      <c r="H144" t="str">
        <f ca="1">IF(AND(ISNUMBER($H$340),$B$185=1),$H$340,HLOOKUP(INDIRECT(ADDRESS(2,COLUMN())),OFFSET($BN$2,0,0,ROW()-1,60),ROW()-1,FALSE))</f>
        <v/>
      </c>
      <c r="I144" t="str">
        <f ca="1">IF(AND(ISNUMBER($I$340),$B$185=1),$I$340,HLOOKUP(INDIRECT(ADDRESS(2,COLUMN())),OFFSET($BN$2,0,0,ROW()-1,60),ROW()-1,FALSE))</f>
        <v/>
      </c>
      <c r="J144" t="str">
        <f ca="1">IF(AND(ISNUMBER($J$340),$B$185=1),$J$340,HLOOKUP(INDIRECT(ADDRESS(2,COLUMN())),OFFSET($BN$2,0,0,ROW()-1,60),ROW()-1,FALSE))</f>
        <v/>
      </c>
      <c r="K144" t="str">
        <f ca="1">IF(AND(ISNUMBER($K$340),$B$185=1),$K$340,HLOOKUP(INDIRECT(ADDRESS(2,COLUMN())),OFFSET($BN$2,0,0,ROW()-1,60),ROW()-1,FALSE))</f>
        <v/>
      </c>
      <c r="L144" t="str">
        <f ca="1">IF(AND(ISNUMBER($L$340),$B$185=1),$L$340,HLOOKUP(INDIRECT(ADDRESS(2,COLUMN())),OFFSET($BN$2,0,0,ROW()-1,60),ROW()-1,FALSE))</f>
        <v/>
      </c>
      <c r="M144" t="str">
        <f ca="1">IF(AND(ISNUMBER($M$340),$B$185=1),$M$340,HLOOKUP(INDIRECT(ADDRESS(2,COLUMN())),OFFSET($BN$2,0,0,ROW()-1,60),ROW()-1,FALSE))</f>
        <v/>
      </c>
      <c r="N144" t="str">
        <f ca="1">IF(AND(ISNUMBER($N$340),$B$185=1),$N$340,HLOOKUP(INDIRECT(ADDRESS(2,COLUMN())),OFFSET($BN$2,0,0,ROW()-1,60),ROW()-1,FALSE))</f>
        <v/>
      </c>
      <c r="O144" t="str">
        <f ca="1">IF(AND(ISNUMBER($O$340),$B$185=1),$O$340,HLOOKUP(INDIRECT(ADDRESS(2,COLUMN())),OFFSET($BN$2,0,0,ROW()-1,60),ROW()-1,FALSE))</f>
        <v/>
      </c>
      <c r="P144" t="str">
        <f ca="1">IF(AND(ISNUMBER($P$340),$B$185=1),$P$340,HLOOKUP(INDIRECT(ADDRESS(2,COLUMN())),OFFSET($BN$2,0,0,ROW()-1,60),ROW()-1,FALSE))</f>
        <v/>
      </c>
      <c r="Q144" t="str">
        <f ca="1">IF(AND(ISNUMBER($Q$340),$B$185=1),$Q$340,HLOOKUP(INDIRECT(ADDRESS(2,COLUMN())),OFFSET($BN$2,0,0,ROW()-1,60),ROW()-1,FALSE))</f>
        <v/>
      </c>
      <c r="R144" t="str">
        <f ca="1">IF(AND(ISNUMBER($R$340),$B$185=1),$R$340,HLOOKUP(INDIRECT(ADDRESS(2,COLUMN())),OFFSET($BN$2,0,0,ROW()-1,60),ROW()-1,FALSE))</f>
        <v/>
      </c>
      <c r="S144" t="str">
        <f ca="1">IF(AND(ISNUMBER($S$340),$B$185=1),$S$340,HLOOKUP(INDIRECT(ADDRESS(2,COLUMN())),OFFSET($BN$2,0,0,ROW()-1,60),ROW()-1,FALSE))</f>
        <v/>
      </c>
      <c r="T144" t="str">
        <f ca="1">IF(AND(ISNUMBER($T$340),$B$185=1),$T$340,HLOOKUP(INDIRECT(ADDRESS(2,COLUMN())),OFFSET($BN$2,0,0,ROW()-1,60),ROW()-1,FALSE))</f>
        <v/>
      </c>
      <c r="U144" t="str">
        <f ca="1">IF(AND(ISNUMBER($U$340),$B$185=1),$U$340,HLOOKUP(INDIRECT(ADDRESS(2,COLUMN())),OFFSET($BN$2,0,0,ROW()-1,60),ROW()-1,FALSE))</f>
        <v/>
      </c>
      <c r="V144" t="str">
        <f ca="1">IF(AND(ISNUMBER($V$340),$B$185=1),$V$340,HLOOKUP(INDIRECT(ADDRESS(2,COLUMN())),OFFSET($BN$2,0,0,ROW()-1,60),ROW()-1,FALSE))</f>
        <v/>
      </c>
      <c r="W144" t="str">
        <f ca="1">IF(AND(ISNUMBER($W$340),$B$185=1),$W$340,HLOOKUP(INDIRECT(ADDRESS(2,COLUMN())),OFFSET($BN$2,0,0,ROW()-1,60),ROW()-1,FALSE))</f>
        <v/>
      </c>
      <c r="X144" t="str">
        <f ca="1">IF(AND(ISNUMBER($X$340),$B$185=1),$X$340,HLOOKUP(INDIRECT(ADDRESS(2,COLUMN())),OFFSET($BN$2,0,0,ROW()-1,60),ROW()-1,FALSE))</f>
        <v/>
      </c>
      <c r="Y144" t="str">
        <f ca="1">IF(AND(ISNUMBER($Y$340),$B$185=1),$Y$340,HLOOKUP(INDIRECT(ADDRESS(2,COLUMN())),OFFSET($BN$2,0,0,ROW()-1,60),ROW()-1,FALSE))</f>
        <v/>
      </c>
      <c r="Z144" t="str">
        <f ca="1">IF(AND(ISNUMBER($Z$340),$B$185=1),$Z$340,HLOOKUP(INDIRECT(ADDRESS(2,COLUMN())),OFFSET($BN$2,0,0,ROW()-1,60),ROW()-1,FALSE))</f>
        <v/>
      </c>
      <c r="AA144" t="str">
        <f ca="1">IF(AND(ISNUMBER($AA$340),$B$185=1),$AA$340,HLOOKUP(INDIRECT(ADDRESS(2,COLUMN())),OFFSET($BN$2,0,0,ROW()-1,60),ROW()-1,FALSE))</f>
        <v/>
      </c>
      <c r="AB144" t="str">
        <f ca="1">IF(AND(ISNUMBER($AB$340),$B$185=1),$AB$340,HLOOKUP(INDIRECT(ADDRESS(2,COLUMN())),OFFSET($BN$2,0,0,ROW()-1,60),ROW()-1,FALSE))</f>
        <v/>
      </c>
      <c r="AC144" t="str">
        <f ca="1">IF(AND(ISNUMBER($AC$340),$B$185=1),$AC$340,HLOOKUP(INDIRECT(ADDRESS(2,COLUMN())),OFFSET($BN$2,0,0,ROW()-1,60),ROW()-1,FALSE))</f>
        <v/>
      </c>
      <c r="AD144" t="str">
        <f ca="1">IF(AND(ISNUMBER($AD$340),$B$185=1),$AD$340,HLOOKUP(INDIRECT(ADDRESS(2,COLUMN())),OFFSET($BN$2,0,0,ROW()-1,60),ROW()-1,FALSE))</f>
        <v/>
      </c>
      <c r="AE144" t="str">
        <f ca="1">IF(AND(ISNUMBER($AE$340),$B$185=1),$AE$340,HLOOKUP(INDIRECT(ADDRESS(2,COLUMN())),OFFSET($BN$2,0,0,ROW()-1,60),ROW()-1,FALSE))</f>
        <v/>
      </c>
      <c r="AF144" t="str">
        <f ca="1">IF(AND(ISNUMBER($AF$340),$B$185=1),$AF$340,HLOOKUP(INDIRECT(ADDRESS(2,COLUMN())),OFFSET($BN$2,0,0,ROW()-1,60),ROW()-1,FALSE))</f>
        <v/>
      </c>
      <c r="AG144" t="str">
        <f ca="1">IF(AND(ISNUMBER($AG$340),$B$185=1),$AG$340,HLOOKUP(INDIRECT(ADDRESS(2,COLUMN())),OFFSET($BN$2,0,0,ROW()-1,60),ROW()-1,FALSE))</f>
        <v/>
      </c>
      <c r="AH144" t="str">
        <f ca="1">IF(AND(ISNUMBER($AH$340),$B$185=1),$AH$340,HLOOKUP(INDIRECT(ADDRESS(2,COLUMN())),OFFSET($BN$2,0,0,ROW()-1,60),ROW()-1,FALSE))</f>
        <v/>
      </c>
      <c r="AI144" t="str">
        <f ca="1">IF(AND(ISNUMBER($AI$340),$B$185=1),$AI$340,HLOOKUP(INDIRECT(ADDRESS(2,COLUMN())),OFFSET($BN$2,0,0,ROW()-1,60),ROW()-1,FALSE))</f>
        <v/>
      </c>
      <c r="AJ144" t="str">
        <f ca="1">IF(AND(ISNUMBER($AJ$340),$B$185=1),$AJ$340,HLOOKUP(INDIRECT(ADDRESS(2,COLUMN())),OFFSET($BN$2,0,0,ROW()-1,60),ROW()-1,FALSE))</f>
        <v/>
      </c>
      <c r="AK144" t="str">
        <f ca="1">IF(AND(ISNUMBER($AK$340),$B$185=1),$AK$340,HLOOKUP(INDIRECT(ADDRESS(2,COLUMN())),OFFSET($BN$2,0,0,ROW()-1,60),ROW()-1,FALSE))</f>
        <v/>
      </c>
      <c r="AL144" t="str">
        <f ca="1">IF(AND(ISNUMBER($AL$340),$B$185=1),$AL$340,HLOOKUP(INDIRECT(ADDRESS(2,COLUMN())),OFFSET($BN$2,0,0,ROW()-1,60),ROW()-1,FALSE))</f>
        <v/>
      </c>
      <c r="AM144" t="str">
        <f ca="1">IF(AND(ISNUMBER($AM$340),$B$185=1),$AM$340,HLOOKUP(INDIRECT(ADDRESS(2,COLUMN())),OFFSET($BN$2,0,0,ROW()-1,60),ROW()-1,FALSE))</f>
        <v/>
      </c>
      <c r="AN144" t="str">
        <f ca="1">IF(AND(ISNUMBER($AN$340),$B$185=1),$AN$340,HLOOKUP(INDIRECT(ADDRESS(2,COLUMN())),OFFSET($BN$2,0,0,ROW()-1,60),ROW()-1,FALSE))</f>
        <v/>
      </c>
      <c r="AO144" t="str">
        <f ca="1">IF(AND(ISNUMBER($AO$340),$B$185=1),$AO$340,HLOOKUP(INDIRECT(ADDRESS(2,COLUMN())),OFFSET($BN$2,0,0,ROW()-1,60),ROW()-1,FALSE))</f>
        <v/>
      </c>
      <c r="AP144" t="str">
        <f ca="1">IF(AND(ISNUMBER($AP$340),$B$185=1),$AP$340,HLOOKUP(INDIRECT(ADDRESS(2,COLUMN())),OFFSET($BN$2,0,0,ROW()-1,60),ROW()-1,FALSE))</f>
        <v/>
      </c>
      <c r="AQ144" t="str">
        <f ca="1">IF(AND(ISNUMBER($AQ$340),$B$185=1),$AQ$340,HLOOKUP(INDIRECT(ADDRESS(2,COLUMN())),OFFSET($BN$2,0,0,ROW()-1,60),ROW()-1,FALSE))</f>
        <v/>
      </c>
      <c r="AR144" t="str">
        <f ca="1">IF(AND(ISNUMBER($AR$340),$B$185=1),$AR$340,HLOOKUP(INDIRECT(ADDRESS(2,COLUMN())),OFFSET($BN$2,0,0,ROW()-1,60),ROW()-1,FALSE))</f>
        <v/>
      </c>
      <c r="AS144" t="str">
        <f ca="1">IF(AND(ISNUMBER($AS$340),$B$185=1),$AS$340,HLOOKUP(INDIRECT(ADDRESS(2,COLUMN())),OFFSET($BN$2,0,0,ROW()-1,60),ROW()-1,FALSE))</f>
        <v/>
      </c>
      <c r="AT144" t="str">
        <f ca="1">IF(AND(ISNUMBER($AT$340),$B$185=1),$AT$340,HLOOKUP(INDIRECT(ADDRESS(2,COLUMN())),OFFSET($BN$2,0,0,ROW()-1,60),ROW()-1,FALSE))</f>
        <v/>
      </c>
      <c r="AU144" t="str">
        <f ca="1">IF(AND(ISNUMBER($AU$340),$B$185=1),$AU$340,HLOOKUP(INDIRECT(ADDRESS(2,COLUMN())),OFFSET($BN$2,0,0,ROW()-1,60),ROW()-1,FALSE))</f>
        <v/>
      </c>
      <c r="AV144" t="str">
        <f ca="1">IF(AND(ISNUMBER($AV$340),$B$185=1),$AV$340,HLOOKUP(INDIRECT(ADDRESS(2,COLUMN())),OFFSET($BN$2,0,0,ROW()-1,60),ROW()-1,FALSE))</f>
        <v/>
      </c>
      <c r="AW144" t="str">
        <f ca="1">IF(AND(ISNUMBER($AW$340),$B$185=1),$AW$340,HLOOKUP(INDIRECT(ADDRESS(2,COLUMN())),OFFSET($BN$2,0,0,ROW()-1,60),ROW()-1,FALSE))</f>
        <v/>
      </c>
      <c r="AX144" t="str">
        <f ca="1">IF(AND(ISNUMBER($AX$340),$B$185=1),$AX$340,HLOOKUP(INDIRECT(ADDRESS(2,COLUMN())),OFFSET($BN$2,0,0,ROW()-1,60),ROW()-1,FALSE))</f>
        <v/>
      </c>
      <c r="AY144" t="str">
        <f ca="1">IF(AND(ISNUMBER($AY$340),$B$185=1),$AY$340,HLOOKUP(INDIRECT(ADDRESS(2,COLUMN())),OFFSET($BN$2,0,0,ROW()-1,60),ROW()-1,FALSE))</f>
        <v/>
      </c>
      <c r="AZ144" t="str">
        <f ca="1">IF(AND(ISNUMBER($AZ$340),$B$185=1),$AZ$340,HLOOKUP(INDIRECT(ADDRESS(2,COLUMN())),OFFSET($BN$2,0,0,ROW()-1,60),ROW()-1,FALSE))</f>
        <v/>
      </c>
      <c r="BA144" t="str">
        <f ca="1">IF(AND(ISNUMBER($BA$340),$B$185=1),$BA$340,HLOOKUP(INDIRECT(ADDRESS(2,COLUMN())),OFFSET($BN$2,0,0,ROW()-1,60),ROW()-1,FALSE))</f>
        <v/>
      </c>
      <c r="BB144" t="str">
        <f ca="1">IF(AND(ISNUMBER($BB$340),$B$185=1),$BB$340,HLOOKUP(INDIRECT(ADDRESS(2,COLUMN())),OFFSET($BN$2,0,0,ROW()-1,60),ROW()-1,FALSE))</f>
        <v/>
      </c>
      <c r="BC144" t="str">
        <f ca="1">IF(AND(ISNUMBER($BC$340),$B$185=1),$BC$340,HLOOKUP(INDIRECT(ADDRESS(2,COLUMN())),OFFSET($BN$2,0,0,ROW()-1,60),ROW()-1,FALSE))</f>
        <v/>
      </c>
      <c r="BD144" t="str">
        <f ca="1">IF(AND(ISNUMBER($BD$340),$B$185=1),$BD$340,HLOOKUP(INDIRECT(ADDRESS(2,COLUMN())),OFFSET($BN$2,0,0,ROW()-1,60),ROW()-1,FALSE))</f>
        <v/>
      </c>
      <c r="BE144" t="str">
        <f ca="1">IF(AND(ISNUMBER($BE$340),$B$185=1),$BE$340,HLOOKUP(INDIRECT(ADDRESS(2,COLUMN())),OFFSET($BN$2,0,0,ROW()-1,60),ROW()-1,FALSE))</f>
        <v/>
      </c>
      <c r="BF144" t="str">
        <f ca="1">IF(AND(ISNUMBER($BF$340),$B$185=1),$BF$340,HLOOKUP(INDIRECT(ADDRESS(2,COLUMN())),OFFSET($BN$2,0,0,ROW()-1,60),ROW()-1,FALSE))</f>
        <v/>
      </c>
      <c r="BG144" t="str">
        <f ca="1">IF(AND(ISNUMBER($BG$340),$B$185=1),$BG$340,HLOOKUP(INDIRECT(ADDRESS(2,COLUMN())),OFFSET($BN$2,0,0,ROW()-1,60),ROW()-1,FALSE))</f>
        <v/>
      </c>
      <c r="BH144" t="str">
        <f ca="1">IF(AND(ISNUMBER($BH$340),$B$185=1),$BH$340,HLOOKUP(INDIRECT(ADDRESS(2,COLUMN())),OFFSET($BN$2,0,0,ROW()-1,60),ROW()-1,FALSE))</f>
        <v/>
      </c>
      <c r="BI144" t="str">
        <f ca="1">IF(AND(ISNUMBER($BI$340),$B$185=1),$BI$340,HLOOKUP(INDIRECT(ADDRESS(2,COLUMN())),OFFSET($BN$2,0,0,ROW()-1,60),ROW()-1,FALSE))</f>
        <v/>
      </c>
      <c r="BJ144" t="str">
        <f ca="1">IF(AND(ISNUMBER($BJ$340),$B$185=1),$BJ$340,HLOOKUP(INDIRECT(ADDRESS(2,COLUMN())),OFFSET($BN$2,0,0,ROW()-1,60),ROW()-1,FALSE))</f>
        <v/>
      </c>
      <c r="BK144" t="str">
        <f ca="1">IF(AND(ISNUMBER($BK$340),$B$185=1),$BK$340,HLOOKUP(INDIRECT(ADDRESS(2,COLUMN())),OFFSET($BN$2,0,0,ROW()-1,60),ROW()-1,FALSE))</f>
        <v/>
      </c>
      <c r="BL144" t="str">
        <f ca="1">IF(AND(ISNUMBER($BL$340),$B$185=1),$BL$340,HLOOKUP(INDIRECT(ADDRESS(2,COLUMN())),OFFSET($BN$2,0,0,ROW()-1,60),ROW()-1,FALSE))</f>
        <v/>
      </c>
      <c r="BM144" t="str">
        <f ca="1">IF(AND(ISNUMBER($BM$340),$B$185=1),$BM$340,HLOOKUP(INDIRECT(ADDRESS(2,COLUMN())),OFFSET($BN$2,0,0,ROW()-1,60),ROW()-1,FALSE))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>
      <c r="A145" t="str">
        <f>"    Wells Fargo &amp; Co"</f>
        <v xml:space="preserve">    Wells Fargo &amp; Co</v>
      </c>
      <c r="B145" t="str">
        <f>"WFC US Equity"</f>
        <v>WFC US Equity</v>
      </c>
      <c r="C145" t="str">
        <f t="shared" si="16"/>
        <v>BS965</v>
      </c>
      <c r="D145" t="str">
        <f t="shared" si="17"/>
        <v>BS_COMML_MTG_SERVICING_PORTFOLIO</v>
      </c>
      <c r="E145" t="str">
        <f t="shared" si="18"/>
        <v>Dynamic</v>
      </c>
      <c r="F145">
        <f ca="1">IF(AND(ISNUMBER($F$341),$B$185=1),$F$341,HLOOKUP(INDIRECT(ADDRESS(2,COLUMN())),OFFSET($BN$2,0,0,ROW()-1,60),ROW()-1,FALSE))</f>
        <v>522000</v>
      </c>
      <c r="G145">
        <f ca="1">IF(AND(ISNUMBER($G$341),$B$185=1),$G$341,HLOOKUP(INDIRECT(ADDRESS(2,COLUMN())),OFFSET($BN$2,0,0,ROW()-1,60),ROW()-1,FALSE))</f>
        <v>659000</v>
      </c>
      <c r="H145">
        <f ca="1">IF(AND(ISNUMBER($H$341),$B$185=1),$H$341,HLOOKUP(INDIRECT(ADDRESS(2,COLUMN())),OFFSET($BN$2,0,0,ROW()-1,60),ROW()-1,FALSE))</f>
        <v>667000</v>
      </c>
      <c r="I145">
        <f ca="1">IF(AND(ISNUMBER($I$341),$B$185=1),$I$341,HLOOKUP(INDIRECT(ADDRESS(2,COLUMN())),OFFSET($BN$2,0,0,ROW()-1,60),ROW()-1,FALSE))</f>
        <v>671000</v>
      </c>
      <c r="J145">
        <f ca="1">IF(AND(ISNUMBER($J$341),$B$185=1),$J$341,HLOOKUP(INDIRECT(ADDRESS(2,COLUMN())),OFFSET($BN$2,0,0,ROW()-1,60),ROW()-1,FALSE))</f>
        <v>539000</v>
      </c>
      <c r="K145">
        <f ca="1">IF(AND(ISNUMBER($K$341),$B$185=1),$K$341,HLOOKUP(INDIRECT(ADDRESS(2,COLUMN())),OFFSET($BN$2,0,0,ROW()-1,60),ROW()-1,FALSE))</f>
        <v>683000</v>
      </c>
      <c r="L145">
        <f ca="1">IF(AND(ISNUMBER($L$341),$B$185=1),$L$341,HLOOKUP(INDIRECT(ADDRESS(2,COLUMN())),OFFSET($BN$2,0,0,ROW()-1,60),ROW()-1,FALSE))</f>
        <v>693000</v>
      </c>
      <c r="M145">
        <f ca="1">IF(AND(ISNUMBER($M$341),$B$185=1),$M$341,HLOOKUP(INDIRECT(ADDRESS(2,COLUMN())),OFFSET($BN$2,0,0,ROW()-1,60),ROW()-1,FALSE))</f>
        <v>702000</v>
      </c>
      <c r="N145">
        <f ca="1">IF(AND(ISNUMBER($N$341),$B$185=1),$N$341,HLOOKUP(INDIRECT(ADDRESS(2,COLUMN())),OFFSET($BN$2,0,0,ROW()-1,60),ROW()-1,FALSE))</f>
        <v>710000</v>
      </c>
      <c r="O145">
        <f ca="1">IF(AND(ISNUMBER($O$341),$B$185=1),$O$341,HLOOKUP(INDIRECT(ADDRESS(2,COLUMN())),OFFSET($BN$2,0,0,ROW()-1,60),ROW()-1,FALSE))</f>
        <v>720000</v>
      </c>
      <c r="P145">
        <f ca="1">IF(AND(ISNUMBER($P$341),$B$185=1),$P$341,HLOOKUP(INDIRECT(ADDRESS(2,COLUMN())),OFFSET($BN$2,0,0,ROW()-1,60),ROW()-1,FALSE))</f>
        <v>729000</v>
      </c>
      <c r="Q145">
        <f ca="1">IF(AND(ISNUMBER($Q$341),$B$185=1),$Q$341,HLOOKUP(INDIRECT(ADDRESS(2,COLUMN())),OFFSET($BN$2,0,0,ROW()-1,60),ROW()-1,FALSE))</f>
        <v>730000</v>
      </c>
      <c r="R145">
        <f ca="1">IF(AND(ISNUMBER($R$341),$B$185=1),$R$341,HLOOKUP(INDIRECT(ADDRESS(2,COLUMN())),OFFSET($BN$2,0,0,ROW()-1,60),ROW()-1,FALSE))</f>
        <v>727000</v>
      </c>
      <c r="S145">
        <f ca="1">IF(AND(ISNUMBER($S$341),$B$185=1),$S$341,HLOOKUP(INDIRECT(ADDRESS(2,COLUMN())),OFFSET($BN$2,0,0,ROW()-1,60),ROW()-1,FALSE))</f>
        <v>711000</v>
      </c>
      <c r="T145">
        <f ca="1">IF(AND(ISNUMBER($T$341),$B$185=1),$T$341,HLOOKUP(INDIRECT(ADDRESS(2,COLUMN())),OFFSET($BN$2,0,0,ROW()-1,60),ROW()-1,FALSE))</f>
        <v>707000</v>
      </c>
      <c r="U145">
        <f ca="1">IF(AND(ISNUMBER($U$341),$B$185=1),$U$341,HLOOKUP(INDIRECT(ADDRESS(2,COLUMN())),OFFSET($BN$2,0,0,ROW()-1,60),ROW()-1,FALSE))</f>
        <v>703000</v>
      </c>
      <c r="V145">
        <f ca="1">IF(AND(ISNUMBER($V$341),$B$185=1),$V$341,HLOOKUP(INDIRECT(ADDRESS(2,COLUMN())),OFFSET($BN$2,0,0,ROW()-1,60),ROW()-1,FALSE))</f>
        <v>706000</v>
      </c>
      <c r="W145">
        <f ca="1">IF(AND(ISNUMBER($W$341),$B$185=1),$W$341,HLOOKUP(INDIRECT(ADDRESS(2,COLUMN())),OFFSET($BN$2,0,0,ROW()-1,60),ROW()-1,FALSE))</f>
        <v>702000</v>
      </c>
      <c r="X145">
        <f ca="1">IF(AND(ISNUMBER($X$341),$B$185=1),$X$341,HLOOKUP(INDIRECT(ADDRESS(2,COLUMN())),OFFSET($BN$2,0,0,ROW()-1,60),ROW()-1,FALSE))</f>
        <v>703000</v>
      </c>
      <c r="Y145">
        <f ca="1">IF(AND(ISNUMBER($Y$341),$B$185=1),$Y$341,HLOOKUP(INDIRECT(ADDRESS(2,COLUMN())),OFFSET($BN$2,0,0,ROW()-1,60),ROW()-1,FALSE))</f>
        <v>697000</v>
      </c>
      <c r="Z145">
        <f ca="1">IF(AND(ISNUMBER($Z$341),$B$185=1),$Z$341,HLOOKUP(INDIRECT(ADDRESS(2,COLUMN())),OFFSET($BN$2,0,0,ROW()-1,60),ROW()-1,FALSE))</f>
        <v>699000</v>
      </c>
      <c r="AA145">
        <f ca="1">IF(AND(ISNUMBER($AA$341),$B$185=1),$AA$341,HLOOKUP(INDIRECT(ADDRESS(2,COLUMN())),OFFSET($BN$2,0,0,ROW()-1,60),ROW()-1,FALSE))</f>
        <v>682000</v>
      </c>
      <c r="AB145">
        <f ca="1">IF(AND(ISNUMBER($AB$341),$B$185=1),$AB$341,HLOOKUP(INDIRECT(ADDRESS(2,COLUMN())),OFFSET($BN$2,0,0,ROW()-1,60),ROW()-1,FALSE))</f>
        <v>680000</v>
      </c>
      <c r="AC145">
        <f ca="1">IF(AND(ISNUMBER($AC$341),$B$185=1),$AC$341,HLOOKUP(INDIRECT(ADDRESS(2,COLUMN())),OFFSET($BN$2,0,0,ROW()-1,60),ROW()-1,FALSE))</f>
        <v>683000</v>
      </c>
      <c r="AD145">
        <f ca="1">IF(AND(ISNUMBER($AD$341),$B$185=1),$AD$341,HLOOKUP(INDIRECT(ADDRESS(2,COLUMN())),OFFSET($BN$2,0,0,ROW()-1,60),ROW()-1,FALSE))</f>
        <v>673</v>
      </c>
      <c r="AE145">
        <f ca="1">IF(AND(ISNUMBER($AE$341),$B$185=1),$AE$341,HLOOKUP(INDIRECT(ADDRESS(2,COLUMN())),OFFSET($BN$2,0,0,ROW()-1,60),ROW()-1,FALSE))</f>
        <v>659000</v>
      </c>
      <c r="AF145">
        <f ca="1">IF(AND(ISNUMBER($AF$341),$B$185=1),$AF$341,HLOOKUP(INDIRECT(ADDRESS(2,COLUMN())),OFFSET($BN$2,0,0,ROW()-1,60),ROW()-1,FALSE))</f>
        <v>652000</v>
      </c>
      <c r="AG145">
        <f ca="1">IF(AND(ISNUMBER($AG$341),$B$185=1),$AG$341,HLOOKUP(INDIRECT(ADDRESS(2,COLUMN())),OFFSET($BN$2,0,0,ROW()-1,60),ROW()-1,FALSE))</f>
        <v>645000</v>
      </c>
      <c r="AH145">
        <f ca="1">IF(AND(ISNUMBER($AH$341),$B$185=1),$AH$341,HLOOKUP(INDIRECT(ADDRESS(2,COLUMN())),OFFSET($BN$2,0,0,ROW()-1,60),ROW()-1,FALSE))</f>
        <v>631000</v>
      </c>
      <c r="AI145">
        <f ca="1">IF(AND(ISNUMBER($AI$341),$B$185=1),$AI$341,HLOOKUP(INDIRECT(ADDRESS(2,COLUMN())),OFFSET($BN$2,0,0,ROW()-1,60),ROW()-1,FALSE))</f>
        <v>616000</v>
      </c>
      <c r="AJ145">
        <f ca="1">IF(AND(ISNUMBER($AJ$341),$B$185=1),$AJ$341,HLOOKUP(INDIRECT(ADDRESS(2,COLUMN())),OFFSET($BN$2,0,0,ROW()-1,60),ROW()-1,FALSE))</f>
        <v>613000</v>
      </c>
      <c r="AK145">
        <f ca="1">IF(AND(ISNUMBER($AK$341),$B$185=1),$AK$341,HLOOKUP(INDIRECT(ADDRESS(2,COLUMN())),OFFSET($BN$2,0,0,ROW()-1,60),ROW()-1,FALSE))</f>
        <v>613000</v>
      </c>
      <c r="AL145">
        <f ca="1">IF(AND(ISNUMBER($AL$341),$B$185=1),$AL$341,HLOOKUP(INDIRECT(ADDRESS(2,COLUMN())),OFFSET($BN$2,0,0,ROW()-1,60),ROW()-1,FALSE))</f>
        <v>619000</v>
      </c>
      <c r="AM145">
        <f ca="1">IF(AND(ISNUMBER($AM$341),$B$185=1),$AM$341,HLOOKUP(INDIRECT(ADDRESS(2,COLUMN())),OFFSET($BN$2,0,0,ROW()-1,60),ROW()-1,FALSE))</f>
        <v>615000</v>
      </c>
      <c r="AN145">
        <f ca="1">IF(AND(ISNUMBER($AN$341),$B$185=1),$AN$341,HLOOKUP(INDIRECT(ADDRESS(2,COLUMN())),OFFSET($BN$2,0,0,ROW()-1,60),ROW()-1,FALSE))</f>
        <v>614000</v>
      </c>
      <c r="AO145">
        <f ca="1">IF(AND(ISNUMBER($AO$341),$B$185=1),$AO$341,HLOOKUP(INDIRECT(ADDRESS(2,COLUMN())),OFFSET($BN$2,0,0,ROW()-1,60),ROW()-1,FALSE))</f>
        <v>618000</v>
      </c>
      <c r="AP145">
        <f ca="1">IF(AND(ISNUMBER($AP$341),$B$185=1),$AP$341,HLOOKUP(INDIRECT(ADDRESS(2,COLUMN())),OFFSET($BN$2,0,0,ROW()-1,60),ROW()-1,FALSE))</f>
        <v>607000</v>
      </c>
      <c r="AQ145">
        <f ca="1">IF(AND(ISNUMBER($AQ$341),$B$185=1),$AQ$341,HLOOKUP(INDIRECT(ADDRESS(2,COLUMN())),OFFSET($BN$2,0,0,ROW()-1,60),ROW()-1,FALSE))</f>
        <v>598000</v>
      </c>
      <c r="AR145">
        <f ca="1">IF(AND(ISNUMBER($AR$341),$B$185=1),$AR$341,HLOOKUP(INDIRECT(ADDRESS(2,COLUMN())),OFFSET($BN$2,0,0,ROW()-1,60),ROW()-1,FALSE))</f>
        <v>592000</v>
      </c>
      <c r="AS145">
        <f ca="1">IF(AND(ISNUMBER($AS$341),$B$185=1),$AS$341,HLOOKUP(INDIRECT(ADDRESS(2,COLUMN())),OFFSET($BN$2,0,0,ROW()-1,60),ROW()-1,FALSE))</f>
        <v>580000</v>
      </c>
      <c r="AT145">
        <f ca="1">IF(AND(ISNUMBER($AT$341),$B$185=1),$AT$341,HLOOKUP(INDIRECT(ADDRESS(2,COLUMN())),OFFSET($BN$2,0,0,ROW()-1,60),ROW()-1,FALSE))</f>
        <v>575000</v>
      </c>
      <c r="AU145">
        <f ca="1">IF(AND(ISNUMBER($AU$341),$B$185=1),$AU$341,HLOOKUP(INDIRECT(ADDRESS(2,COLUMN())),OFFSET($BN$2,0,0,ROW()-1,60),ROW()-1,FALSE))</f>
        <v>554000</v>
      </c>
      <c r="AV145">
        <f ca="1">IF(AND(ISNUMBER($AV$341),$B$185=1),$AV$341,HLOOKUP(INDIRECT(ADDRESS(2,COLUMN())),OFFSET($BN$2,0,0,ROW()-1,60),ROW()-1,FALSE))</f>
        <v>545000</v>
      </c>
      <c r="AW145">
        <f ca="1">IF(AND(ISNUMBER($AW$341),$B$185=1),$AW$341,HLOOKUP(INDIRECT(ADDRESS(2,COLUMN())),OFFSET($BN$2,0,0,ROW()-1,60),ROW()-1,FALSE))</f>
        <v>539000</v>
      </c>
      <c r="AX145">
        <f ca="1">IF(AND(ISNUMBER($AX$341),$B$185=1),$AX$341,HLOOKUP(INDIRECT(ADDRESS(2,COLUMN())),OFFSET($BN$2,0,0,ROW()-1,60),ROW()-1,FALSE))</f>
        <v>533000</v>
      </c>
      <c r="AY145">
        <f ca="1">IF(AND(ISNUMBER($AY$341),$B$185=1),$AY$341,HLOOKUP(INDIRECT(ADDRESS(2,COLUMN())),OFFSET($BN$2,0,0,ROW()-1,60),ROW()-1,FALSE))</f>
        <v>533000</v>
      </c>
      <c r="AZ145">
        <f ca="1">IF(AND(ISNUMBER($AZ$341),$B$185=1),$AZ$341,HLOOKUP(INDIRECT(ADDRESS(2,COLUMN())),OFFSET($BN$2,0,0,ROW()-1,60),ROW()-1,FALSE))</f>
        <v>525000</v>
      </c>
      <c r="BA145">
        <f ca="1">IF(AND(ISNUMBER($BA$341),$B$185=1),$BA$341,HLOOKUP(INDIRECT(ADDRESS(2,COLUMN())),OFFSET($BN$2,0,0,ROW()-1,60),ROW()-1,FALSE))</f>
        <v>524000</v>
      </c>
      <c r="BB145">
        <f ca="1">IF(AND(ISNUMBER($BB$341),$B$185=1),$BB$341,HLOOKUP(INDIRECT(ADDRESS(2,COLUMN())),OFFSET($BN$2,0,0,ROW()-1,60),ROW()-1,FALSE))</f>
        <v>527000</v>
      </c>
      <c r="BC145">
        <f ca="1">IF(AND(ISNUMBER($BC$341),$B$185=1),$BC$341,HLOOKUP(INDIRECT(ADDRESS(2,COLUMN())),OFFSET($BN$2,0,0,ROW()-1,60),ROW()-1,FALSE))</f>
        <v>523000</v>
      </c>
      <c r="BD145">
        <f ca="1">IF(AND(ISNUMBER($BD$341),$B$185=1),$BD$341,HLOOKUP(INDIRECT(ADDRESS(2,COLUMN())),OFFSET($BN$2,0,0,ROW()-1,60),ROW()-1,FALSE))</f>
        <v>525000</v>
      </c>
      <c r="BE145">
        <f ca="1">IF(AND(ISNUMBER($BE$341),$B$185=1),$BE$341,HLOOKUP(INDIRECT(ADDRESS(2,COLUMN())),OFFSET($BN$2,0,0,ROW()-1,60),ROW()-1,FALSE))</f>
        <v>526000</v>
      </c>
      <c r="BF145">
        <f ca="1">IF(AND(ISNUMBER($BF$341),$B$185=1),$BF$341,HLOOKUP(INDIRECT(ADDRESS(2,COLUMN())),OFFSET($BN$2,0,0,ROW()-1,60),ROW()-1,FALSE))</f>
        <v>518000</v>
      </c>
      <c r="BG145">
        <f ca="1">IF(AND(ISNUMBER($BG$341),$B$185=1),$BG$341,HLOOKUP(INDIRECT(ADDRESS(2,COLUMN())),OFFSET($BN$2,0,0,ROW()-1,60),ROW()-1,FALSE))</f>
        <v>519000</v>
      </c>
      <c r="BH145">
        <f ca="1">IF(AND(ISNUMBER($BH$341),$B$185=1),$BH$341,HLOOKUP(INDIRECT(ADDRESS(2,COLUMN())),OFFSET($BN$2,0,0,ROW()-1,60),ROW()-1,FALSE))</f>
        <v>517000</v>
      </c>
      <c r="BI145">
        <f ca="1">IF(AND(ISNUMBER($BI$341),$B$185=1),$BI$341,HLOOKUP(INDIRECT(ADDRESS(2,COLUMN())),OFFSET($BN$2,0,0,ROW()-1,60),ROW()-1,FALSE))</f>
        <v>521000</v>
      </c>
      <c r="BJ145">
        <f ca="1">IF(AND(ISNUMBER($BJ$341),$B$185=1),$BJ$341,HLOOKUP(INDIRECT(ADDRESS(2,COLUMN())),OFFSET($BN$2,0,0,ROW()-1,60),ROW()-1,FALSE))</f>
        <v>520000</v>
      </c>
      <c r="BK145">
        <f ca="1">IF(AND(ISNUMBER($BK$341),$B$185=1),$BK$341,HLOOKUP(INDIRECT(ADDRESS(2,COLUMN())),OFFSET($BN$2,0,0,ROW()-1,60),ROW()-1,FALSE))</f>
        <v>548000</v>
      </c>
      <c r="BL145">
        <f ca="1">IF(AND(ISNUMBER($BL$341),$B$185=1),$BL$341,HLOOKUP(INDIRECT(ADDRESS(2,COLUMN())),OFFSET($BN$2,0,0,ROW()-1,60),ROW()-1,FALSE))</f>
        <v>551000</v>
      </c>
      <c r="BM145" t="str">
        <f ca="1">IF(AND(ISNUMBER($BM$341),$B$185=1),$BM$341,HLOOKUP(INDIRECT(ADDRESS(2,COLUMN())),OFFSET($BN$2,0,0,ROW()-1,60),ROW()-1,FALSE))</f>
        <v/>
      </c>
      <c r="BN145">
        <f>522000</f>
        <v>522000</v>
      </c>
      <c r="BO145">
        <f>659000</f>
        <v>659000</v>
      </c>
      <c r="BP145">
        <f>667000</f>
        <v>667000</v>
      </c>
      <c r="BQ145">
        <f>671000</f>
        <v>671000</v>
      </c>
      <c r="BR145">
        <f>539000</f>
        <v>539000</v>
      </c>
      <c r="BS145">
        <f>683000</f>
        <v>683000</v>
      </c>
      <c r="BT145">
        <f>693000</f>
        <v>693000</v>
      </c>
      <c r="BU145">
        <f>702000</f>
        <v>702000</v>
      </c>
      <c r="BV145">
        <f>710000</f>
        <v>710000</v>
      </c>
      <c r="BW145">
        <f>720000</f>
        <v>720000</v>
      </c>
      <c r="BX145">
        <f>729000</f>
        <v>729000</v>
      </c>
      <c r="BY145">
        <f>730000</f>
        <v>730000</v>
      </c>
      <c r="BZ145">
        <f>727000</f>
        <v>727000</v>
      </c>
      <c r="CA145">
        <f>711000</f>
        <v>711000</v>
      </c>
      <c r="CB145">
        <f>707000</f>
        <v>707000</v>
      </c>
      <c r="CC145">
        <f>703000</f>
        <v>703000</v>
      </c>
      <c r="CD145">
        <f>706000</f>
        <v>706000</v>
      </c>
      <c r="CE145">
        <f>702000</f>
        <v>702000</v>
      </c>
      <c r="CF145">
        <f>703000</f>
        <v>703000</v>
      </c>
      <c r="CG145">
        <f>697000</f>
        <v>697000</v>
      </c>
      <c r="CH145">
        <f>699000</f>
        <v>699000</v>
      </c>
      <c r="CI145">
        <f>682000</f>
        <v>682000</v>
      </c>
      <c r="CJ145">
        <f>680000</f>
        <v>680000</v>
      </c>
      <c r="CK145">
        <f>683000</f>
        <v>683000</v>
      </c>
      <c r="CL145">
        <f>673</f>
        <v>673</v>
      </c>
      <c r="CM145">
        <f>659000</f>
        <v>659000</v>
      </c>
      <c r="CN145">
        <f>652000</f>
        <v>652000</v>
      </c>
      <c r="CO145">
        <f>645000</f>
        <v>645000</v>
      </c>
      <c r="CP145">
        <f>631000</f>
        <v>631000</v>
      </c>
      <c r="CQ145">
        <f>616000</f>
        <v>616000</v>
      </c>
      <c r="CR145">
        <f>613000</f>
        <v>613000</v>
      </c>
      <c r="CS145">
        <f>613000</f>
        <v>613000</v>
      </c>
      <c r="CT145">
        <f>619000</f>
        <v>619000</v>
      </c>
      <c r="CU145">
        <f>615000</f>
        <v>615000</v>
      </c>
      <c r="CV145">
        <f>614000</f>
        <v>614000</v>
      </c>
      <c r="CW145">
        <f>618000</f>
        <v>618000</v>
      </c>
      <c r="CX145">
        <f>607000</f>
        <v>607000</v>
      </c>
      <c r="CY145">
        <f>598000</f>
        <v>598000</v>
      </c>
      <c r="CZ145">
        <f>592000</f>
        <v>592000</v>
      </c>
      <c r="DA145">
        <f>580000</f>
        <v>580000</v>
      </c>
      <c r="DB145">
        <f>575000</f>
        <v>575000</v>
      </c>
      <c r="DC145">
        <f>554000</f>
        <v>554000</v>
      </c>
      <c r="DD145">
        <f>545000</f>
        <v>545000</v>
      </c>
      <c r="DE145">
        <f>539000</f>
        <v>539000</v>
      </c>
      <c r="DF145">
        <f>533000</f>
        <v>533000</v>
      </c>
      <c r="DG145">
        <f>533000</f>
        <v>533000</v>
      </c>
      <c r="DH145">
        <f>525000</f>
        <v>525000</v>
      </c>
      <c r="DI145">
        <f>524000</f>
        <v>524000</v>
      </c>
      <c r="DJ145">
        <f>527000</f>
        <v>527000</v>
      </c>
      <c r="DK145">
        <f>523000</f>
        <v>523000</v>
      </c>
      <c r="DL145">
        <f>525000</f>
        <v>525000</v>
      </c>
      <c r="DM145">
        <f>526000</f>
        <v>526000</v>
      </c>
      <c r="DN145">
        <f>518000</f>
        <v>518000</v>
      </c>
      <c r="DO145">
        <f>519000</f>
        <v>519000</v>
      </c>
      <c r="DP145">
        <f>517000</f>
        <v>517000</v>
      </c>
      <c r="DQ145">
        <f>521000</f>
        <v>521000</v>
      </c>
      <c r="DR145">
        <f>520000</f>
        <v>520000</v>
      </c>
      <c r="DS145">
        <f>548000</f>
        <v>548000</v>
      </c>
      <c r="DT145">
        <f>551000</f>
        <v>551000</v>
      </c>
      <c r="DU145" t="str">
        <f>""</f>
        <v/>
      </c>
    </row>
    <row r="146" spans="1:125">
      <c r="A146" t="str">
        <f>"    Western Alliance Bancorp"</f>
        <v xml:space="preserve">    Western Alliance Bancorp</v>
      </c>
      <c r="B146" t="str">
        <f>"WAL US Equity"</f>
        <v>WAL US Equity</v>
      </c>
      <c r="C146" t="str">
        <f t="shared" si="16"/>
        <v>BS965</v>
      </c>
      <c r="D146" t="str">
        <f t="shared" si="17"/>
        <v>BS_COMML_MTG_SERVICING_PORTFOLIO</v>
      </c>
      <c r="E146" t="str">
        <f t="shared" si="18"/>
        <v>Dynamic</v>
      </c>
      <c r="F146" t="str">
        <f ca="1">IF(AND(ISNUMBER($F$342),$B$185=1),$F$342,HLOOKUP(INDIRECT(ADDRESS(2,COLUMN())),OFFSET($BN$2,0,0,ROW()-1,60),ROW()-1,FALSE))</f>
        <v/>
      </c>
      <c r="G146" t="str">
        <f ca="1">IF(AND(ISNUMBER($G$342),$B$185=1),$G$342,HLOOKUP(INDIRECT(ADDRESS(2,COLUMN())),OFFSET($BN$2,0,0,ROW()-1,60),ROW()-1,FALSE))</f>
        <v/>
      </c>
      <c r="H146" t="str">
        <f ca="1">IF(AND(ISNUMBER($H$342),$B$185=1),$H$342,HLOOKUP(INDIRECT(ADDRESS(2,COLUMN())),OFFSET($BN$2,0,0,ROW()-1,60),ROW()-1,FALSE))</f>
        <v/>
      </c>
      <c r="I146" t="str">
        <f ca="1">IF(AND(ISNUMBER($I$342),$B$185=1),$I$342,HLOOKUP(INDIRECT(ADDRESS(2,COLUMN())),OFFSET($BN$2,0,0,ROW()-1,60),ROW()-1,FALSE))</f>
        <v/>
      </c>
      <c r="J146" t="str">
        <f ca="1">IF(AND(ISNUMBER($J$342),$B$185=1),$J$342,HLOOKUP(INDIRECT(ADDRESS(2,COLUMN())),OFFSET($BN$2,0,0,ROW()-1,60),ROW()-1,FALSE))</f>
        <v/>
      </c>
      <c r="K146" t="str">
        <f ca="1">IF(AND(ISNUMBER($K$342),$B$185=1),$K$342,HLOOKUP(INDIRECT(ADDRESS(2,COLUMN())),OFFSET($BN$2,0,0,ROW()-1,60),ROW()-1,FALSE))</f>
        <v/>
      </c>
      <c r="L146" t="str">
        <f ca="1">IF(AND(ISNUMBER($L$342),$B$185=1),$L$342,HLOOKUP(INDIRECT(ADDRESS(2,COLUMN())),OFFSET($BN$2,0,0,ROW()-1,60),ROW()-1,FALSE))</f>
        <v/>
      </c>
      <c r="M146" t="str">
        <f ca="1">IF(AND(ISNUMBER($M$342),$B$185=1),$M$342,HLOOKUP(INDIRECT(ADDRESS(2,COLUMN())),OFFSET($BN$2,0,0,ROW()-1,60),ROW()-1,FALSE))</f>
        <v/>
      </c>
      <c r="N146" t="str">
        <f ca="1">IF(AND(ISNUMBER($N$342),$B$185=1),$N$342,HLOOKUP(INDIRECT(ADDRESS(2,COLUMN())),OFFSET($BN$2,0,0,ROW()-1,60),ROW()-1,FALSE))</f>
        <v/>
      </c>
      <c r="O146" t="str">
        <f ca="1">IF(AND(ISNUMBER($O$342),$B$185=1),$O$342,HLOOKUP(INDIRECT(ADDRESS(2,COLUMN())),OFFSET($BN$2,0,0,ROW()-1,60),ROW()-1,FALSE))</f>
        <v/>
      </c>
      <c r="P146" t="str">
        <f ca="1">IF(AND(ISNUMBER($P$342),$B$185=1),$P$342,HLOOKUP(INDIRECT(ADDRESS(2,COLUMN())),OFFSET($BN$2,0,0,ROW()-1,60),ROW()-1,FALSE))</f>
        <v/>
      </c>
      <c r="Q146" t="str">
        <f ca="1">IF(AND(ISNUMBER($Q$342),$B$185=1),$Q$342,HLOOKUP(INDIRECT(ADDRESS(2,COLUMN())),OFFSET($BN$2,0,0,ROW()-1,60),ROW()-1,FALSE))</f>
        <v/>
      </c>
      <c r="R146" t="str">
        <f ca="1">IF(AND(ISNUMBER($R$342),$B$185=1),$R$342,HLOOKUP(INDIRECT(ADDRESS(2,COLUMN())),OFFSET($BN$2,0,0,ROW()-1,60),ROW()-1,FALSE))</f>
        <v/>
      </c>
      <c r="S146" t="str">
        <f ca="1">IF(AND(ISNUMBER($S$342),$B$185=1),$S$342,HLOOKUP(INDIRECT(ADDRESS(2,COLUMN())),OFFSET($BN$2,0,0,ROW()-1,60),ROW()-1,FALSE))</f>
        <v/>
      </c>
      <c r="T146" t="str">
        <f ca="1">IF(AND(ISNUMBER($T$342),$B$185=1),$T$342,HLOOKUP(INDIRECT(ADDRESS(2,COLUMN())),OFFSET($BN$2,0,0,ROW()-1,60),ROW()-1,FALSE))</f>
        <v/>
      </c>
      <c r="U146" t="str">
        <f ca="1">IF(AND(ISNUMBER($U$342),$B$185=1),$U$342,HLOOKUP(INDIRECT(ADDRESS(2,COLUMN())),OFFSET($BN$2,0,0,ROW()-1,60),ROW()-1,FALSE))</f>
        <v/>
      </c>
      <c r="V146" t="str">
        <f ca="1">IF(AND(ISNUMBER($V$342),$B$185=1),$V$342,HLOOKUP(INDIRECT(ADDRESS(2,COLUMN())),OFFSET($BN$2,0,0,ROW()-1,60),ROW()-1,FALSE))</f>
        <v/>
      </c>
      <c r="W146" t="str">
        <f ca="1">IF(AND(ISNUMBER($W$342),$B$185=1),$W$342,HLOOKUP(INDIRECT(ADDRESS(2,COLUMN())),OFFSET($BN$2,0,0,ROW()-1,60),ROW()-1,FALSE))</f>
        <v/>
      </c>
      <c r="X146" t="str">
        <f ca="1">IF(AND(ISNUMBER($X$342),$B$185=1),$X$342,HLOOKUP(INDIRECT(ADDRESS(2,COLUMN())),OFFSET($BN$2,0,0,ROW()-1,60),ROW()-1,FALSE))</f>
        <v/>
      </c>
      <c r="Y146" t="str">
        <f ca="1">IF(AND(ISNUMBER($Y$342),$B$185=1),$Y$342,HLOOKUP(INDIRECT(ADDRESS(2,COLUMN())),OFFSET($BN$2,0,0,ROW()-1,60),ROW()-1,FALSE))</f>
        <v/>
      </c>
      <c r="Z146" t="str">
        <f ca="1">IF(AND(ISNUMBER($Z$342),$B$185=1),$Z$342,HLOOKUP(INDIRECT(ADDRESS(2,COLUMN())),OFFSET($BN$2,0,0,ROW()-1,60),ROW()-1,FALSE))</f>
        <v/>
      </c>
      <c r="AA146" t="str">
        <f ca="1">IF(AND(ISNUMBER($AA$342),$B$185=1),$AA$342,HLOOKUP(INDIRECT(ADDRESS(2,COLUMN())),OFFSET($BN$2,0,0,ROW()-1,60),ROW()-1,FALSE))</f>
        <v/>
      </c>
      <c r="AB146" t="str">
        <f ca="1">IF(AND(ISNUMBER($AB$342),$B$185=1),$AB$342,HLOOKUP(INDIRECT(ADDRESS(2,COLUMN())),OFFSET($BN$2,0,0,ROW()-1,60),ROW()-1,FALSE))</f>
        <v/>
      </c>
      <c r="AC146" t="str">
        <f ca="1">IF(AND(ISNUMBER($AC$342),$B$185=1),$AC$342,HLOOKUP(INDIRECT(ADDRESS(2,COLUMN())),OFFSET($BN$2,0,0,ROW()-1,60),ROW()-1,FALSE))</f>
        <v/>
      </c>
      <c r="AD146" t="str">
        <f ca="1">IF(AND(ISNUMBER($AD$342),$B$185=1),$AD$342,HLOOKUP(INDIRECT(ADDRESS(2,COLUMN())),OFFSET($BN$2,0,0,ROW()-1,60),ROW()-1,FALSE))</f>
        <v/>
      </c>
      <c r="AE146" t="str">
        <f ca="1">IF(AND(ISNUMBER($AE$342),$B$185=1),$AE$342,HLOOKUP(INDIRECT(ADDRESS(2,COLUMN())),OFFSET($BN$2,0,0,ROW()-1,60),ROW()-1,FALSE))</f>
        <v/>
      </c>
      <c r="AF146" t="str">
        <f ca="1">IF(AND(ISNUMBER($AF$342),$B$185=1),$AF$342,HLOOKUP(INDIRECT(ADDRESS(2,COLUMN())),OFFSET($BN$2,0,0,ROW()-1,60),ROW()-1,FALSE))</f>
        <v/>
      </c>
      <c r="AG146" t="str">
        <f ca="1">IF(AND(ISNUMBER($AG$342),$B$185=1),$AG$342,HLOOKUP(INDIRECT(ADDRESS(2,COLUMN())),OFFSET($BN$2,0,0,ROW()-1,60),ROW()-1,FALSE))</f>
        <v/>
      </c>
      <c r="AH146" t="str">
        <f ca="1">IF(AND(ISNUMBER($AH$342),$B$185=1),$AH$342,HLOOKUP(INDIRECT(ADDRESS(2,COLUMN())),OFFSET($BN$2,0,0,ROW()-1,60),ROW()-1,FALSE))</f>
        <v/>
      </c>
      <c r="AI146" t="str">
        <f ca="1">IF(AND(ISNUMBER($AI$342),$B$185=1),$AI$342,HLOOKUP(INDIRECT(ADDRESS(2,COLUMN())),OFFSET($BN$2,0,0,ROW()-1,60),ROW()-1,FALSE))</f>
        <v/>
      </c>
      <c r="AJ146" t="str">
        <f ca="1">IF(AND(ISNUMBER($AJ$342),$B$185=1),$AJ$342,HLOOKUP(INDIRECT(ADDRESS(2,COLUMN())),OFFSET($BN$2,0,0,ROW()-1,60),ROW()-1,FALSE))</f>
        <v/>
      </c>
      <c r="AK146" t="str">
        <f ca="1">IF(AND(ISNUMBER($AK$342),$B$185=1),$AK$342,HLOOKUP(INDIRECT(ADDRESS(2,COLUMN())),OFFSET($BN$2,0,0,ROW()-1,60),ROW()-1,FALSE))</f>
        <v/>
      </c>
      <c r="AL146" t="str">
        <f ca="1">IF(AND(ISNUMBER($AL$342),$B$185=1),$AL$342,HLOOKUP(INDIRECT(ADDRESS(2,COLUMN())),OFFSET($BN$2,0,0,ROW()-1,60),ROW()-1,FALSE))</f>
        <v/>
      </c>
      <c r="AM146" t="str">
        <f ca="1">IF(AND(ISNUMBER($AM$342),$B$185=1),$AM$342,HLOOKUP(INDIRECT(ADDRESS(2,COLUMN())),OFFSET($BN$2,0,0,ROW()-1,60),ROW()-1,FALSE))</f>
        <v/>
      </c>
      <c r="AN146" t="str">
        <f ca="1">IF(AND(ISNUMBER($AN$342),$B$185=1),$AN$342,HLOOKUP(INDIRECT(ADDRESS(2,COLUMN())),OFFSET($BN$2,0,0,ROW()-1,60),ROW()-1,FALSE))</f>
        <v/>
      </c>
      <c r="AO146" t="str">
        <f ca="1">IF(AND(ISNUMBER($AO$342),$B$185=1),$AO$342,HLOOKUP(INDIRECT(ADDRESS(2,COLUMN())),OFFSET($BN$2,0,0,ROW()-1,60),ROW()-1,FALSE))</f>
        <v/>
      </c>
      <c r="AP146" t="str">
        <f ca="1">IF(AND(ISNUMBER($AP$342),$B$185=1),$AP$342,HLOOKUP(INDIRECT(ADDRESS(2,COLUMN())),OFFSET($BN$2,0,0,ROW()-1,60),ROW()-1,FALSE))</f>
        <v/>
      </c>
      <c r="AQ146" t="str">
        <f ca="1">IF(AND(ISNUMBER($AQ$342),$B$185=1),$AQ$342,HLOOKUP(INDIRECT(ADDRESS(2,COLUMN())),OFFSET($BN$2,0,0,ROW()-1,60),ROW()-1,FALSE))</f>
        <v/>
      </c>
      <c r="AR146" t="str">
        <f ca="1">IF(AND(ISNUMBER($AR$342),$B$185=1),$AR$342,HLOOKUP(INDIRECT(ADDRESS(2,COLUMN())),OFFSET($BN$2,0,0,ROW()-1,60),ROW()-1,FALSE))</f>
        <v/>
      </c>
      <c r="AS146" t="str">
        <f ca="1">IF(AND(ISNUMBER($AS$342),$B$185=1),$AS$342,HLOOKUP(INDIRECT(ADDRESS(2,COLUMN())),OFFSET($BN$2,0,0,ROW()-1,60),ROW()-1,FALSE))</f>
        <v/>
      </c>
      <c r="AT146" t="str">
        <f ca="1">IF(AND(ISNUMBER($AT$342),$B$185=1),$AT$342,HLOOKUP(INDIRECT(ADDRESS(2,COLUMN())),OFFSET($BN$2,0,0,ROW()-1,60),ROW()-1,FALSE))</f>
        <v/>
      </c>
      <c r="AU146" t="str">
        <f ca="1">IF(AND(ISNUMBER($AU$342),$B$185=1),$AU$342,HLOOKUP(INDIRECT(ADDRESS(2,COLUMN())),OFFSET($BN$2,0,0,ROW()-1,60),ROW()-1,FALSE))</f>
        <v/>
      </c>
      <c r="AV146" t="str">
        <f ca="1">IF(AND(ISNUMBER($AV$342),$B$185=1),$AV$342,HLOOKUP(INDIRECT(ADDRESS(2,COLUMN())),OFFSET($BN$2,0,0,ROW()-1,60),ROW()-1,FALSE))</f>
        <v/>
      </c>
      <c r="AW146" t="str">
        <f ca="1">IF(AND(ISNUMBER($AW$342),$B$185=1),$AW$342,HLOOKUP(INDIRECT(ADDRESS(2,COLUMN())),OFFSET($BN$2,0,0,ROW()-1,60),ROW()-1,FALSE))</f>
        <v/>
      </c>
      <c r="AX146" t="str">
        <f ca="1">IF(AND(ISNUMBER($AX$342),$B$185=1),$AX$342,HLOOKUP(INDIRECT(ADDRESS(2,COLUMN())),OFFSET($BN$2,0,0,ROW()-1,60),ROW()-1,FALSE))</f>
        <v/>
      </c>
      <c r="AY146" t="str">
        <f ca="1">IF(AND(ISNUMBER($AY$342),$B$185=1),$AY$342,HLOOKUP(INDIRECT(ADDRESS(2,COLUMN())),OFFSET($BN$2,0,0,ROW()-1,60),ROW()-1,FALSE))</f>
        <v/>
      </c>
      <c r="AZ146" t="str">
        <f ca="1">IF(AND(ISNUMBER($AZ$342),$B$185=1),$AZ$342,HLOOKUP(INDIRECT(ADDRESS(2,COLUMN())),OFFSET($BN$2,0,0,ROW()-1,60),ROW()-1,FALSE))</f>
        <v/>
      </c>
      <c r="BA146" t="str">
        <f ca="1">IF(AND(ISNUMBER($BA$342),$B$185=1),$BA$342,HLOOKUP(INDIRECT(ADDRESS(2,COLUMN())),OFFSET($BN$2,0,0,ROW()-1,60),ROW()-1,FALSE))</f>
        <v/>
      </c>
      <c r="BB146" t="str">
        <f ca="1">IF(AND(ISNUMBER($BB$342),$B$185=1),$BB$342,HLOOKUP(INDIRECT(ADDRESS(2,COLUMN())),OFFSET($BN$2,0,0,ROW()-1,60),ROW()-1,FALSE))</f>
        <v/>
      </c>
      <c r="BC146" t="str">
        <f ca="1">IF(AND(ISNUMBER($BC$342),$B$185=1),$BC$342,HLOOKUP(INDIRECT(ADDRESS(2,COLUMN())),OFFSET($BN$2,0,0,ROW()-1,60),ROW()-1,FALSE))</f>
        <v/>
      </c>
      <c r="BD146" t="str">
        <f ca="1">IF(AND(ISNUMBER($BD$342),$B$185=1),$BD$342,HLOOKUP(INDIRECT(ADDRESS(2,COLUMN())),OFFSET($BN$2,0,0,ROW()-1,60),ROW()-1,FALSE))</f>
        <v/>
      </c>
      <c r="BE146" t="str">
        <f ca="1">IF(AND(ISNUMBER($BE$342),$B$185=1),$BE$342,HLOOKUP(INDIRECT(ADDRESS(2,COLUMN())),OFFSET($BN$2,0,0,ROW()-1,60),ROW()-1,FALSE))</f>
        <v/>
      </c>
      <c r="BF146" t="str">
        <f ca="1">IF(AND(ISNUMBER($BF$342),$B$185=1),$BF$342,HLOOKUP(INDIRECT(ADDRESS(2,COLUMN())),OFFSET($BN$2,0,0,ROW()-1,60),ROW()-1,FALSE))</f>
        <v/>
      </c>
      <c r="BG146" t="str">
        <f ca="1">IF(AND(ISNUMBER($BG$342),$B$185=1),$BG$342,HLOOKUP(INDIRECT(ADDRESS(2,COLUMN())),OFFSET($BN$2,0,0,ROW()-1,60),ROW()-1,FALSE))</f>
        <v/>
      </c>
      <c r="BH146" t="str">
        <f ca="1">IF(AND(ISNUMBER($BH$342),$B$185=1),$BH$342,HLOOKUP(INDIRECT(ADDRESS(2,COLUMN())),OFFSET($BN$2,0,0,ROW()-1,60),ROW()-1,FALSE))</f>
        <v/>
      </c>
      <c r="BI146" t="str">
        <f ca="1">IF(AND(ISNUMBER($BI$342),$B$185=1),$BI$342,HLOOKUP(INDIRECT(ADDRESS(2,COLUMN())),OFFSET($BN$2,0,0,ROW()-1,60),ROW()-1,FALSE))</f>
        <v/>
      </c>
      <c r="BJ146" t="str">
        <f ca="1">IF(AND(ISNUMBER($BJ$342),$B$185=1),$BJ$342,HLOOKUP(INDIRECT(ADDRESS(2,COLUMN())),OFFSET($BN$2,0,0,ROW()-1,60),ROW()-1,FALSE))</f>
        <v/>
      </c>
      <c r="BK146" t="str">
        <f ca="1">IF(AND(ISNUMBER($BK$342),$B$185=1),$BK$342,HLOOKUP(INDIRECT(ADDRESS(2,COLUMN())),OFFSET($BN$2,0,0,ROW()-1,60),ROW()-1,FALSE))</f>
        <v/>
      </c>
      <c r="BL146" t="str">
        <f ca="1">IF(AND(ISNUMBER($BL$342),$B$185=1),$BL$342,HLOOKUP(INDIRECT(ADDRESS(2,COLUMN())),OFFSET($BN$2,0,0,ROW()-1,60),ROW()-1,FALSE))</f>
        <v/>
      </c>
      <c r="BM146" t="str">
        <f ca="1">IF(AND(ISNUMBER($BM$342),$B$185=1),$BM$342,HLOOKUP(INDIRECT(ADDRESS(2,COLUMN())),OFFSET($BN$2,0,0,ROW()-1,60),ROW()-1,FALSE))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  <c r="BT146" t="str">
        <f>""</f>
        <v/>
      </c>
      <c r="BU146" t="str">
        <f>""</f>
        <v/>
      </c>
      <c r="BV146" t="str">
        <f>""</f>
        <v/>
      </c>
      <c r="BW146" t="str">
        <f>""</f>
        <v/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  <c r="CI146" t="str">
        <f>""</f>
        <v/>
      </c>
      <c r="CJ146" t="str">
        <f>""</f>
        <v/>
      </c>
      <c r="CK146" t="str">
        <f>""</f>
        <v/>
      </c>
      <c r="CL146" t="str">
        <f>""</f>
        <v/>
      </c>
      <c r="CM146" t="str">
        <f>""</f>
        <v/>
      </c>
      <c r="CN146" t="str">
        <f>""</f>
        <v/>
      </c>
      <c r="CO146" t="str">
        <f>""</f>
        <v/>
      </c>
      <c r="CP146" t="str">
        <f>""</f>
        <v/>
      </c>
      <c r="CQ146" t="str">
        <f>""</f>
        <v/>
      </c>
      <c r="CR146" t="str">
        <f>""</f>
        <v/>
      </c>
      <c r="CS146" t="str">
        <f>""</f>
        <v/>
      </c>
      <c r="CT146" t="str">
        <f>""</f>
        <v/>
      </c>
      <c r="CU146" t="str">
        <f>""</f>
        <v/>
      </c>
      <c r="CV146" t="str">
        <f>""</f>
        <v/>
      </c>
      <c r="CW146" t="str">
        <f>""</f>
        <v/>
      </c>
      <c r="CX146" t="str">
        <f>""</f>
        <v/>
      </c>
      <c r="CY146" t="str">
        <f>""</f>
        <v/>
      </c>
      <c r="CZ146" t="str">
        <f>""</f>
        <v/>
      </c>
      <c r="DA146" t="str">
        <f>""</f>
        <v/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>
      <c r="A147" t="str">
        <f>"    Zions Bancorp NA"</f>
        <v xml:space="preserve">    Zions Bancorp NA</v>
      </c>
      <c r="B147" t="str">
        <f>"ZION US Equity"</f>
        <v>ZION US Equity</v>
      </c>
      <c r="C147" t="str">
        <f t="shared" si="16"/>
        <v>BS965</v>
      </c>
      <c r="D147" t="str">
        <f t="shared" si="17"/>
        <v>BS_COMML_MTG_SERVICING_PORTFOLIO</v>
      </c>
      <c r="E147" t="str">
        <f t="shared" si="18"/>
        <v>Dynamic</v>
      </c>
      <c r="F147" t="str">
        <f ca="1">IF(AND(ISNUMBER($F$343),$B$185=1),$F$343,HLOOKUP(INDIRECT(ADDRESS(2,COLUMN())),OFFSET($BN$2,0,0,ROW()-1,60),ROW()-1,FALSE))</f>
        <v/>
      </c>
      <c r="G147" t="str">
        <f ca="1">IF(AND(ISNUMBER($G$343),$B$185=1),$G$343,HLOOKUP(INDIRECT(ADDRESS(2,COLUMN())),OFFSET($BN$2,0,0,ROW()-1,60),ROW()-1,FALSE))</f>
        <v/>
      </c>
      <c r="H147" t="str">
        <f ca="1">IF(AND(ISNUMBER($H$343),$B$185=1),$H$343,HLOOKUP(INDIRECT(ADDRESS(2,COLUMN())),OFFSET($BN$2,0,0,ROW()-1,60),ROW()-1,FALSE))</f>
        <v/>
      </c>
      <c r="I147" t="str">
        <f ca="1">IF(AND(ISNUMBER($I$343),$B$185=1),$I$343,HLOOKUP(INDIRECT(ADDRESS(2,COLUMN())),OFFSET($BN$2,0,0,ROW()-1,60),ROW()-1,FALSE))</f>
        <v/>
      </c>
      <c r="J147" t="str">
        <f ca="1">IF(AND(ISNUMBER($J$343),$B$185=1),$J$343,HLOOKUP(INDIRECT(ADDRESS(2,COLUMN())),OFFSET($BN$2,0,0,ROW()-1,60),ROW()-1,FALSE))</f>
        <v/>
      </c>
      <c r="K147" t="str">
        <f ca="1">IF(AND(ISNUMBER($K$343),$B$185=1),$K$343,HLOOKUP(INDIRECT(ADDRESS(2,COLUMN())),OFFSET($BN$2,0,0,ROW()-1,60),ROW()-1,FALSE))</f>
        <v/>
      </c>
      <c r="L147" t="str">
        <f ca="1">IF(AND(ISNUMBER($L$343),$B$185=1),$L$343,HLOOKUP(INDIRECT(ADDRESS(2,COLUMN())),OFFSET($BN$2,0,0,ROW()-1,60),ROW()-1,FALSE))</f>
        <v/>
      </c>
      <c r="M147" t="str">
        <f ca="1">IF(AND(ISNUMBER($M$343),$B$185=1),$M$343,HLOOKUP(INDIRECT(ADDRESS(2,COLUMN())),OFFSET($BN$2,0,0,ROW()-1,60),ROW()-1,FALSE))</f>
        <v/>
      </c>
      <c r="N147" t="str">
        <f ca="1">IF(AND(ISNUMBER($N$343),$B$185=1),$N$343,HLOOKUP(INDIRECT(ADDRESS(2,COLUMN())),OFFSET($BN$2,0,0,ROW()-1,60),ROW()-1,FALSE))</f>
        <v/>
      </c>
      <c r="O147" t="str">
        <f ca="1">IF(AND(ISNUMBER($O$343),$B$185=1),$O$343,HLOOKUP(INDIRECT(ADDRESS(2,COLUMN())),OFFSET($BN$2,0,0,ROW()-1,60),ROW()-1,FALSE))</f>
        <v/>
      </c>
      <c r="P147" t="str">
        <f ca="1">IF(AND(ISNUMBER($P$343),$B$185=1),$P$343,HLOOKUP(INDIRECT(ADDRESS(2,COLUMN())),OFFSET($BN$2,0,0,ROW()-1,60),ROW()-1,FALSE))</f>
        <v/>
      </c>
      <c r="Q147" t="str">
        <f ca="1">IF(AND(ISNUMBER($Q$343),$B$185=1),$Q$343,HLOOKUP(INDIRECT(ADDRESS(2,COLUMN())),OFFSET($BN$2,0,0,ROW()-1,60),ROW()-1,FALSE))</f>
        <v/>
      </c>
      <c r="R147" t="str">
        <f ca="1">IF(AND(ISNUMBER($R$343),$B$185=1),$R$343,HLOOKUP(INDIRECT(ADDRESS(2,COLUMN())),OFFSET($BN$2,0,0,ROW()-1,60),ROW()-1,FALSE))</f>
        <v/>
      </c>
      <c r="S147" t="str">
        <f ca="1">IF(AND(ISNUMBER($S$343),$B$185=1),$S$343,HLOOKUP(INDIRECT(ADDRESS(2,COLUMN())),OFFSET($BN$2,0,0,ROW()-1,60),ROW()-1,FALSE))</f>
        <v/>
      </c>
      <c r="T147" t="str">
        <f ca="1">IF(AND(ISNUMBER($T$343),$B$185=1),$T$343,HLOOKUP(INDIRECT(ADDRESS(2,COLUMN())),OFFSET($BN$2,0,0,ROW()-1,60),ROW()-1,FALSE))</f>
        <v/>
      </c>
      <c r="U147" t="str">
        <f ca="1">IF(AND(ISNUMBER($U$343),$B$185=1),$U$343,HLOOKUP(INDIRECT(ADDRESS(2,COLUMN())),OFFSET($BN$2,0,0,ROW()-1,60),ROW()-1,FALSE))</f>
        <v/>
      </c>
      <c r="V147" t="str">
        <f ca="1">IF(AND(ISNUMBER($V$343),$B$185=1),$V$343,HLOOKUP(INDIRECT(ADDRESS(2,COLUMN())),OFFSET($BN$2,0,0,ROW()-1,60),ROW()-1,FALSE))</f>
        <v/>
      </c>
      <c r="W147" t="str">
        <f ca="1">IF(AND(ISNUMBER($W$343),$B$185=1),$W$343,HLOOKUP(INDIRECT(ADDRESS(2,COLUMN())),OFFSET($BN$2,0,0,ROW()-1,60),ROW()-1,FALSE))</f>
        <v/>
      </c>
      <c r="X147" t="str">
        <f ca="1">IF(AND(ISNUMBER($X$343),$B$185=1),$X$343,HLOOKUP(INDIRECT(ADDRESS(2,COLUMN())),OFFSET($BN$2,0,0,ROW()-1,60),ROW()-1,FALSE))</f>
        <v/>
      </c>
      <c r="Y147" t="str">
        <f ca="1">IF(AND(ISNUMBER($Y$343),$B$185=1),$Y$343,HLOOKUP(INDIRECT(ADDRESS(2,COLUMN())),OFFSET($BN$2,0,0,ROW()-1,60),ROW()-1,FALSE))</f>
        <v/>
      </c>
      <c r="Z147" t="str">
        <f ca="1">IF(AND(ISNUMBER($Z$343),$B$185=1),$Z$343,HLOOKUP(INDIRECT(ADDRESS(2,COLUMN())),OFFSET($BN$2,0,0,ROW()-1,60),ROW()-1,FALSE))</f>
        <v/>
      </c>
      <c r="AA147" t="str">
        <f ca="1">IF(AND(ISNUMBER($AA$343),$B$185=1),$AA$343,HLOOKUP(INDIRECT(ADDRESS(2,COLUMN())),OFFSET($BN$2,0,0,ROW()-1,60),ROW()-1,FALSE))</f>
        <v/>
      </c>
      <c r="AB147" t="str">
        <f ca="1">IF(AND(ISNUMBER($AB$343),$B$185=1),$AB$343,HLOOKUP(INDIRECT(ADDRESS(2,COLUMN())),OFFSET($BN$2,0,0,ROW()-1,60),ROW()-1,FALSE))</f>
        <v/>
      </c>
      <c r="AC147" t="str">
        <f ca="1">IF(AND(ISNUMBER($AC$343),$B$185=1),$AC$343,HLOOKUP(INDIRECT(ADDRESS(2,COLUMN())),OFFSET($BN$2,0,0,ROW()-1,60),ROW()-1,FALSE))</f>
        <v/>
      </c>
      <c r="AD147" t="str">
        <f ca="1">IF(AND(ISNUMBER($AD$343),$B$185=1),$AD$343,HLOOKUP(INDIRECT(ADDRESS(2,COLUMN())),OFFSET($BN$2,0,0,ROW()-1,60),ROW()-1,FALSE))</f>
        <v/>
      </c>
      <c r="AE147" t="str">
        <f ca="1">IF(AND(ISNUMBER($AE$343),$B$185=1),$AE$343,HLOOKUP(INDIRECT(ADDRESS(2,COLUMN())),OFFSET($BN$2,0,0,ROW()-1,60),ROW()-1,FALSE))</f>
        <v/>
      </c>
      <c r="AF147" t="str">
        <f ca="1">IF(AND(ISNUMBER($AF$343),$B$185=1),$AF$343,HLOOKUP(INDIRECT(ADDRESS(2,COLUMN())),OFFSET($BN$2,0,0,ROW()-1,60),ROW()-1,FALSE))</f>
        <v/>
      </c>
      <c r="AG147" t="str">
        <f ca="1">IF(AND(ISNUMBER($AG$343),$B$185=1),$AG$343,HLOOKUP(INDIRECT(ADDRESS(2,COLUMN())),OFFSET($BN$2,0,0,ROW()-1,60),ROW()-1,FALSE))</f>
        <v/>
      </c>
      <c r="AH147" t="str">
        <f ca="1">IF(AND(ISNUMBER($AH$343),$B$185=1),$AH$343,HLOOKUP(INDIRECT(ADDRESS(2,COLUMN())),OFFSET($BN$2,0,0,ROW()-1,60),ROW()-1,FALSE))</f>
        <v/>
      </c>
      <c r="AI147" t="str">
        <f ca="1">IF(AND(ISNUMBER($AI$343),$B$185=1),$AI$343,HLOOKUP(INDIRECT(ADDRESS(2,COLUMN())),OFFSET($BN$2,0,0,ROW()-1,60),ROW()-1,FALSE))</f>
        <v/>
      </c>
      <c r="AJ147" t="str">
        <f ca="1">IF(AND(ISNUMBER($AJ$343),$B$185=1),$AJ$343,HLOOKUP(INDIRECT(ADDRESS(2,COLUMN())),OFFSET($BN$2,0,0,ROW()-1,60),ROW()-1,FALSE))</f>
        <v/>
      </c>
      <c r="AK147" t="str">
        <f ca="1">IF(AND(ISNUMBER($AK$343),$B$185=1),$AK$343,HLOOKUP(INDIRECT(ADDRESS(2,COLUMN())),OFFSET($BN$2,0,0,ROW()-1,60),ROW()-1,FALSE))</f>
        <v/>
      </c>
      <c r="AL147" t="str">
        <f ca="1">IF(AND(ISNUMBER($AL$343),$B$185=1),$AL$343,HLOOKUP(INDIRECT(ADDRESS(2,COLUMN())),OFFSET($BN$2,0,0,ROW()-1,60),ROW()-1,FALSE))</f>
        <v/>
      </c>
      <c r="AM147" t="str">
        <f ca="1">IF(AND(ISNUMBER($AM$343),$B$185=1),$AM$343,HLOOKUP(INDIRECT(ADDRESS(2,COLUMN())),OFFSET($BN$2,0,0,ROW()-1,60),ROW()-1,FALSE))</f>
        <v/>
      </c>
      <c r="AN147" t="str">
        <f ca="1">IF(AND(ISNUMBER($AN$343),$B$185=1),$AN$343,HLOOKUP(INDIRECT(ADDRESS(2,COLUMN())),OFFSET($BN$2,0,0,ROW()-1,60),ROW()-1,FALSE))</f>
        <v/>
      </c>
      <c r="AO147" t="str">
        <f ca="1">IF(AND(ISNUMBER($AO$343),$B$185=1),$AO$343,HLOOKUP(INDIRECT(ADDRESS(2,COLUMN())),OFFSET($BN$2,0,0,ROW()-1,60),ROW()-1,FALSE))</f>
        <v/>
      </c>
      <c r="AP147" t="str">
        <f ca="1">IF(AND(ISNUMBER($AP$343),$B$185=1),$AP$343,HLOOKUP(INDIRECT(ADDRESS(2,COLUMN())),OFFSET($BN$2,0,0,ROW()-1,60),ROW()-1,FALSE))</f>
        <v/>
      </c>
      <c r="AQ147" t="str">
        <f ca="1">IF(AND(ISNUMBER($AQ$343),$B$185=1),$AQ$343,HLOOKUP(INDIRECT(ADDRESS(2,COLUMN())),OFFSET($BN$2,0,0,ROW()-1,60),ROW()-1,FALSE))</f>
        <v/>
      </c>
      <c r="AR147" t="str">
        <f ca="1">IF(AND(ISNUMBER($AR$343),$B$185=1),$AR$343,HLOOKUP(INDIRECT(ADDRESS(2,COLUMN())),OFFSET($BN$2,0,0,ROW()-1,60),ROW()-1,FALSE))</f>
        <v/>
      </c>
      <c r="AS147" t="str">
        <f ca="1">IF(AND(ISNUMBER($AS$343),$B$185=1),$AS$343,HLOOKUP(INDIRECT(ADDRESS(2,COLUMN())),OFFSET($BN$2,0,0,ROW()-1,60),ROW()-1,FALSE))</f>
        <v/>
      </c>
      <c r="AT147" t="str">
        <f ca="1">IF(AND(ISNUMBER($AT$343),$B$185=1),$AT$343,HLOOKUP(INDIRECT(ADDRESS(2,COLUMN())),OFFSET($BN$2,0,0,ROW()-1,60),ROW()-1,FALSE))</f>
        <v/>
      </c>
      <c r="AU147" t="str">
        <f ca="1">IF(AND(ISNUMBER($AU$343),$B$185=1),$AU$343,HLOOKUP(INDIRECT(ADDRESS(2,COLUMN())),OFFSET($BN$2,0,0,ROW()-1,60),ROW()-1,FALSE))</f>
        <v/>
      </c>
      <c r="AV147" t="str">
        <f ca="1">IF(AND(ISNUMBER($AV$343),$B$185=1),$AV$343,HLOOKUP(INDIRECT(ADDRESS(2,COLUMN())),OFFSET($BN$2,0,0,ROW()-1,60),ROW()-1,FALSE))</f>
        <v/>
      </c>
      <c r="AW147" t="str">
        <f ca="1">IF(AND(ISNUMBER($AW$343),$B$185=1),$AW$343,HLOOKUP(INDIRECT(ADDRESS(2,COLUMN())),OFFSET($BN$2,0,0,ROW()-1,60),ROW()-1,FALSE))</f>
        <v/>
      </c>
      <c r="AX147" t="str">
        <f ca="1">IF(AND(ISNUMBER($AX$343),$B$185=1),$AX$343,HLOOKUP(INDIRECT(ADDRESS(2,COLUMN())),OFFSET($BN$2,0,0,ROW()-1,60),ROW()-1,FALSE))</f>
        <v/>
      </c>
      <c r="AY147" t="str">
        <f ca="1">IF(AND(ISNUMBER($AY$343),$B$185=1),$AY$343,HLOOKUP(INDIRECT(ADDRESS(2,COLUMN())),OFFSET($BN$2,0,0,ROW()-1,60),ROW()-1,FALSE))</f>
        <v/>
      </c>
      <c r="AZ147" t="str">
        <f ca="1">IF(AND(ISNUMBER($AZ$343),$B$185=1),$AZ$343,HLOOKUP(INDIRECT(ADDRESS(2,COLUMN())),OFFSET($BN$2,0,0,ROW()-1,60),ROW()-1,FALSE))</f>
        <v/>
      </c>
      <c r="BA147" t="str">
        <f ca="1">IF(AND(ISNUMBER($BA$343),$B$185=1),$BA$343,HLOOKUP(INDIRECT(ADDRESS(2,COLUMN())),OFFSET($BN$2,0,0,ROW()-1,60),ROW()-1,FALSE))</f>
        <v/>
      </c>
      <c r="BB147" t="str">
        <f ca="1">IF(AND(ISNUMBER($BB$343),$B$185=1),$BB$343,HLOOKUP(INDIRECT(ADDRESS(2,COLUMN())),OFFSET($BN$2,0,0,ROW()-1,60),ROW()-1,FALSE))</f>
        <v/>
      </c>
      <c r="BC147" t="str">
        <f ca="1">IF(AND(ISNUMBER($BC$343),$B$185=1),$BC$343,HLOOKUP(INDIRECT(ADDRESS(2,COLUMN())),OFFSET($BN$2,0,0,ROW()-1,60),ROW()-1,FALSE))</f>
        <v/>
      </c>
      <c r="BD147" t="str">
        <f ca="1">IF(AND(ISNUMBER($BD$343),$B$185=1),$BD$343,HLOOKUP(INDIRECT(ADDRESS(2,COLUMN())),OFFSET($BN$2,0,0,ROW()-1,60),ROW()-1,FALSE))</f>
        <v/>
      </c>
      <c r="BE147" t="str">
        <f ca="1">IF(AND(ISNUMBER($BE$343),$B$185=1),$BE$343,HLOOKUP(INDIRECT(ADDRESS(2,COLUMN())),OFFSET($BN$2,0,0,ROW()-1,60),ROW()-1,FALSE))</f>
        <v/>
      </c>
      <c r="BF147" t="str">
        <f ca="1">IF(AND(ISNUMBER($BF$343),$B$185=1),$BF$343,HLOOKUP(INDIRECT(ADDRESS(2,COLUMN())),OFFSET($BN$2,0,0,ROW()-1,60),ROW()-1,FALSE))</f>
        <v/>
      </c>
      <c r="BG147" t="str">
        <f ca="1">IF(AND(ISNUMBER($BG$343),$B$185=1),$BG$343,HLOOKUP(INDIRECT(ADDRESS(2,COLUMN())),OFFSET($BN$2,0,0,ROW()-1,60),ROW()-1,FALSE))</f>
        <v/>
      </c>
      <c r="BH147" t="str">
        <f ca="1">IF(AND(ISNUMBER($BH$343),$B$185=1),$BH$343,HLOOKUP(INDIRECT(ADDRESS(2,COLUMN())),OFFSET($BN$2,0,0,ROW()-1,60),ROW()-1,FALSE))</f>
        <v/>
      </c>
      <c r="BI147" t="str">
        <f ca="1">IF(AND(ISNUMBER($BI$343),$B$185=1),$BI$343,HLOOKUP(INDIRECT(ADDRESS(2,COLUMN())),OFFSET($BN$2,0,0,ROW()-1,60),ROW()-1,FALSE))</f>
        <v/>
      </c>
      <c r="BJ147" t="str">
        <f ca="1">IF(AND(ISNUMBER($BJ$343),$B$185=1),$BJ$343,HLOOKUP(INDIRECT(ADDRESS(2,COLUMN())),OFFSET($BN$2,0,0,ROW()-1,60),ROW()-1,FALSE))</f>
        <v/>
      </c>
      <c r="BK147" t="str">
        <f ca="1">IF(AND(ISNUMBER($BK$343),$B$185=1),$BK$343,HLOOKUP(INDIRECT(ADDRESS(2,COLUMN())),OFFSET($BN$2,0,0,ROW()-1,60),ROW()-1,FALSE))</f>
        <v/>
      </c>
      <c r="BL147" t="str">
        <f ca="1">IF(AND(ISNUMBER($BL$343),$B$185=1),$BL$343,HLOOKUP(INDIRECT(ADDRESS(2,COLUMN())),OFFSET($BN$2,0,0,ROW()-1,60),ROW()-1,FALSE))</f>
        <v/>
      </c>
      <c r="BM147" t="str">
        <f ca="1">IF(AND(ISNUMBER($BM$343),$B$185=1),$BM$343,HLOOKUP(INDIRECT(ADDRESS(2,COLUMN())),OFFSET($BN$2,0,0,ROW()-1,60),ROW()-1,FALSE))</f>
        <v/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  <c r="BT147" t="str">
        <f>""</f>
        <v/>
      </c>
      <c r="BU147" t="str">
        <f>""</f>
        <v/>
      </c>
      <c r="BV147" t="str">
        <f>""</f>
        <v/>
      </c>
      <c r="BW147" t="str">
        <f>""</f>
        <v/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  <c r="CI147" t="str">
        <f>""</f>
        <v/>
      </c>
      <c r="CJ147" t="str">
        <f>""</f>
        <v/>
      </c>
      <c r="CK147" t="str">
        <f>""</f>
        <v/>
      </c>
      <c r="CL147" t="str">
        <f>""</f>
        <v/>
      </c>
      <c r="CM147" t="str">
        <f>""</f>
        <v/>
      </c>
      <c r="CN147" t="str">
        <f>""</f>
        <v/>
      </c>
      <c r="CO147" t="str">
        <f>""</f>
        <v/>
      </c>
      <c r="CP147" t="str">
        <f>""</f>
        <v/>
      </c>
      <c r="CQ147" t="str">
        <f>""</f>
        <v/>
      </c>
      <c r="CR147" t="str">
        <f>""</f>
        <v/>
      </c>
      <c r="CS147" t="str">
        <f>""</f>
        <v/>
      </c>
      <c r="CT147" t="str">
        <f>""</f>
        <v/>
      </c>
      <c r="CU147" t="str">
        <f>""</f>
        <v/>
      </c>
      <c r="CV147" t="str">
        <f>""</f>
        <v/>
      </c>
      <c r="CW147" t="str">
        <f>""</f>
        <v/>
      </c>
      <c r="CX147" t="str">
        <f>""</f>
        <v/>
      </c>
      <c r="CY147" t="str">
        <f>""</f>
        <v/>
      </c>
      <c r="CZ147" t="str">
        <f>""</f>
        <v/>
      </c>
      <c r="DA147" t="str">
        <f>""</f>
        <v/>
      </c>
      <c r="DB147" t="str">
        <f>""</f>
        <v/>
      </c>
      <c r="DC147" t="str">
        <f>""</f>
        <v/>
      </c>
      <c r="DD147" t="str">
        <f>""</f>
        <v/>
      </c>
      <c r="DE147" t="str">
        <f>""</f>
        <v/>
      </c>
      <c r="DF147" t="str">
        <f>""</f>
        <v/>
      </c>
      <c r="DG147" t="str">
        <f>""</f>
        <v/>
      </c>
      <c r="DH147" t="str">
        <f>""</f>
        <v/>
      </c>
      <c r="DI147" t="str">
        <f>""</f>
        <v/>
      </c>
      <c r="DJ147" t="str">
        <f>""</f>
        <v/>
      </c>
      <c r="DK147" t="str">
        <f>""</f>
        <v/>
      </c>
      <c r="DL147" t="str">
        <f>""</f>
        <v/>
      </c>
      <c r="DM147" t="str">
        <f>""</f>
        <v/>
      </c>
      <c r="DN147" t="str">
        <f>""</f>
        <v/>
      </c>
      <c r="DO147" t="str">
        <f>""</f>
        <v/>
      </c>
      <c r="DP147" t="str">
        <f>""</f>
        <v/>
      </c>
      <c r="DQ147" t="str">
        <f>""</f>
        <v/>
      </c>
      <c r="DR147" t="str">
        <f>""</f>
        <v/>
      </c>
      <c r="DS147" t="str">
        <f>""</f>
        <v/>
      </c>
      <c r="DT147" t="str">
        <f>""</f>
        <v/>
      </c>
      <c r="DU147" t="str">
        <f>""</f>
        <v/>
      </c>
    </row>
    <row r="148" spans="1:125">
      <c r="A148" t="str">
        <f>"Commercial Mortgages Serviced for Others"</f>
        <v>Commercial Mortgages Serviced for Others</v>
      </c>
      <c r="B148" t="str">
        <f>""</f>
        <v/>
      </c>
      <c r="E148" t="str">
        <f>"Sum"</f>
        <v>Sum</v>
      </c>
      <c r="F148">
        <f ca="1">IF(ISERROR(IF(SUM($F$149:$F$169) = 0, "", SUM($F$149:$F$169))), "", (IF(SUM($F$149:$F$169) = 0, "", SUM($F$149:$F$169))))</f>
        <v>590961</v>
      </c>
      <c r="G148">
        <f ca="1">IF(ISERROR(IF(SUM($G$149:$G$169) = 0, "", SUM($G$149:$G$169))), "", (IF(SUM($G$149:$G$169) = 0, "", SUM($G$149:$G$169))))</f>
        <v>597593</v>
      </c>
      <c r="H148">
        <f ca="1">IF(ISERROR(IF(SUM($H$149:$H$169) = 0, "", SUM($H$149:$H$169))), "", (IF(SUM($H$149:$H$169) = 0, "", SUM($H$149:$H$169))))</f>
        <v>602048</v>
      </c>
      <c r="I148">
        <f ca="1">IF(ISERROR(IF(SUM($I$149:$I$169) = 0, "", SUM($I$149:$I$169))), "", (IF(SUM($I$149:$I$169) = 0, "", SUM($I$149:$I$169))))</f>
        <v>603384</v>
      </c>
      <c r="J148">
        <f ca="1">IF(ISERROR(IF(SUM($J$149:$J$169) = 0, "", SUM($J$149:$J$169))), "", (IF(SUM($J$149:$J$169) = 0, "", SUM($J$149:$J$169))))</f>
        <v>608366</v>
      </c>
      <c r="K148">
        <f ca="1">IF(ISERROR(IF(SUM($K$149:$K$169) = 0, "", SUM($K$149:$K$169))), "", (IF(SUM($K$149:$K$169) = 0, "", SUM($K$149:$K$169))))</f>
        <v>616573.13599999994</v>
      </c>
      <c r="L148">
        <f ca="1">IF(ISERROR(IF(SUM($L$149:$L$169) = 0, "", SUM($L$149:$L$169))), "", (IF(SUM($L$149:$L$169) = 0, "", SUM($L$149:$L$169))))</f>
        <v>624724</v>
      </c>
      <c r="M148">
        <f ca="1">IF(ISERROR(IF(SUM($M$149:$M$169) = 0, "", SUM($M$149:$M$169))), "", (IF(SUM($M$149:$M$169) = 0, "", SUM($M$149:$M$169))))</f>
        <v>634141</v>
      </c>
      <c r="N148">
        <f ca="1">IF(ISERROR(IF(SUM($N$149:$N$169) = 0, "", SUM($N$149:$N$169))), "", (IF(SUM($N$149:$N$169) = 0, "", SUM($N$149:$N$169))))</f>
        <v>640236</v>
      </c>
      <c r="O148">
        <f ca="1">IF(ISERROR(IF(SUM($O$149:$O$169) = 0, "", SUM($O$149:$O$169))), "", (IF(SUM($O$149:$O$169) = 0, "", SUM($O$149:$O$169))))</f>
        <v>647993</v>
      </c>
      <c r="P148">
        <f ca="1">IF(ISERROR(IF(SUM($P$149:$P$169) = 0, "", SUM($P$149:$P$169))), "", (IF(SUM($P$149:$P$169) = 0, "", SUM($P$149:$P$169))))</f>
        <v>656760</v>
      </c>
      <c r="Q148">
        <f ca="1">IF(ISERROR(IF(SUM($Q$149:$Q$169) = 0, "", SUM($Q$149:$Q$169))), "", (IF(SUM($Q$149:$Q$169) = 0, "", SUM($Q$149:$Q$169))))</f>
        <v>658589</v>
      </c>
      <c r="R148">
        <f ca="1">IF(ISERROR(IF(SUM($R$149:$R$169) = 0, "", SUM($R$149:$R$169))), "", (IF(SUM($R$149:$R$169) = 0, "", SUM($R$149:$R$169))))</f>
        <v>659270</v>
      </c>
      <c r="S148">
        <f ca="1">IF(ISERROR(IF(SUM($S$149:$S$169) = 0, "", SUM($S$149:$S$169))), "", (IF(SUM($S$149:$S$169) = 0, "", SUM($S$149:$S$169))))</f>
        <v>697257</v>
      </c>
      <c r="T148">
        <f ca="1">IF(ISERROR(IF(SUM($T$149:$T$169) = 0, "", SUM($T$149:$T$169))), "", (IF(SUM($T$149:$T$169) = 0, "", SUM($T$149:$T$169))))</f>
        <v>694849</v>
      </c>
      <c r="U148">
        <f ca="1">IF(ISERROR(IF(SUM($U$149:$U$169) = 0, "", SUM($U$149:$U$169))), "", (IF(SUM($U$149:$U$169) = 0, "", SUM($U$149:$U$169))))</f>
        <v>642228</v>
      </c>
      <c r="V148">
        <f ca="1">IF(ISERROR(IF(SUM($V$149:$V$169) = 0, "", SUM($V$149:$V$169))), "", (IF(SUM($V$149:$V$169) = 0, "", SUM($V$149:$V$169))))</f>
        <v>642523</v>
      </c>
      <c r="W148">
        <f ca="1">IF(ISERROR(IF(SUM($W$149:$W$169) = 0, "", SUM($W$149:$W$169))), "", (IF(SUM($W$149:$W$169) = 0, "", SUM($W$149:$W$169))))</f>
        <v>616331</v>
      </c>
      <c r="X148">
        <f ca="1">IF(ISERROR(IF(SUM($X$149:$X$169) = 0, "", SUM($X$149:$X$169))), "", (IF(SUM($X$149:$X$169) = 0, "", SUM($X$149:$X$169))))</f>
        <v>715814</v>
      </c>
      <c r="Y148">
        <f ca="1">IF(ISERROR(IF(SUM($Y$149:$Y$169) = 0, "", SUM($Y$149:$Y$169))), "", (IF(SUM($Y$149:$Y$169) = 0, "", SUM($Y$149:$Y$169))))</f>
        <v>706873</v>
      </c>
      <c r="Z148">
        <f ca="1">IF(ISERROR(IF(SUM($Z$149:$Z$169) = 0, "", SUM($Z$149:$Z$169))), "", (IF(SUM($Z$149:$Z$169) = 0, "", SUM($Z$149:$Z$169))))</f>
        <v>657858</v>
      </c>
      <c r="AA148">
        <f ca="1">IF(ISERROR(IF(SUM($AA$149:$AA$169) = 0, "", SUM($AA$149:$AA$169))), "", (IF(SUM($AA$149:$AA$169) = 0, "", SUM($AA$149:$AA$169))))</f>
        <v>653530</v>
      </c>
      <c r="AB148">
        <f ca="1">IF(ISERROR(IF(SUM($AB$149:$AB$169) = 0, "", SUM($AB$149:$AB$169))), "", (IF(SUM($AB$149:$AB$169) = 0, "", SUM($AB$149:$AB$169))))</f>
        <v>653821</v>
      </c>
      <c r="AC148">
        <f ca="1">IF(ISERROR(IF(SUM($AC$149:$AC$169) = 0, "", SUM($AC$149:$AC$169))), "", (IF(SUM($AC$149:$AC$169) = 0, "", SUM($AC$149:$AC$169))))</f>
        <v>635144</v>
      </c>
      <c r="AD148">
        <f ca="1">IF(ISERROR(IF(SUM($AD$149:$AD$169) = 0, "", SUM($AD$149:$AD$169))), "", (IF(SUM($AD$149:$AD$169) = 0, "", SUM($AD$149:$AD$169))))</f>
        <v>46796</v>
      </c>
      <c r="AE148">
        <f ca="1">IF(ISERROR(IF(SUM($AE$149:$AE$169) = 0, "", SUM($AE$149:$AE$169))), "", (IF(SUM($AE$149:$AE$169) = 0, "", SUM($AE$149:$AE$169))))</f>
        <v>616945</v>
      </c>
      <c r="AF148">
        <f ca="1">IF(ISERROR(IF(SUM($AF$149:$AF$169) = 0, "", SUM($AF$149:$AF$169))), "", (IF(SUM($AF$149:$AF$169) = 0, "", SUM($AF$149:$AF$169))))</f>
        <v>599377</v>
      </c>
      <c r="AG148">
        <f ca="1">IF(ISERROR(IF(SUM($AG$149:$AG$169) = 0, "", SUM($AG$149:$AG$169))), "", (IF(SUM($AG$149:$AG$169) = 0, "", SUM($AG$149:$AG$169))))</f>
        <v>593540</v>
      </c>
      <c r="AH148">
        <f ca="1">IF(ISERROR(IF(SUM($AH$149:$AH$169) = 0, "", SUM($AH$149:$AH$169))), "", (IF(SUM($AH$149:$AH$169) = 0, "", SUM($AH$149:$AH$169))))</f>
        <v>539881</v>
      </c>
      <c r="AI148">
        <f ca="1">IF(ISERROR(IF(SUM($AI$149:$AI$169) = 0, "", SUM($AI$149:$AI$169))), "", (IF(SUM($AI$149:$AI$169) = 0, "", SUM($AI$149:$AI$169))))</f>
        <v>567676</v>
      </c>
      <c r="AJ148">
        <f ca="1">IF(ISERROR(IF(SUM($AJ$149:$AJ$169) = 0, "", SUM($AJ$149:$AJ$169))), "", (IF(SUM($AJ$149:$AJ$169) = 0, "", SUM($AJ$149:$AJ$169))))</f>
        <v>554166</v>
      </c>
      <c r="AK148">
        <f ca="1">IF(ISERROR(IF(SUM($AK$149:$AK$169) = 0, "", SUM($AK$149:$AK$169))), "", (IF(SUM($AK$149:$AK$169) = 0, "", SUM($AK$149:$AK$169))))</f>
        <v>544335</v>
      </c>
      <c r="AL148">
        <f ca="1">IF(ISERROR(IF(SUM($AL$149:$AL$169) = 0, "", SUM($AL$149:$AL$169))), "", (IF(SUM($AL$149:$AL$169) = 0, "", SUM($AL$149:$AL$169))))</f>
        <v>520359</v>
      </c>
      <c r="AM148">
        <f ca="1">IF(ISERROR(IF(SUM($AM$149:$AM$169) = 0, "", SUM($AM$149:$AM$169))), "", (IF(SUM($AM$149:$AM$169) = 0, "", SUM($AM$149:$AM$169))))</f>
        <v>538497</v>
      </c>
      <c r="AN148">
        <f ca="1">IF(ISERROR(IF(SUM($AN$149:$AN$169) = 0, "", SUM($AN$149:$AN$169))), "", (IF(SUM($AN$149:$AN$169) = 0, "", SUM($AN$149:$AN$169))))</f>
        <v>541309</v>
      </c>
      <c r="AO148">
        <f ca="1">IF(ISERROR(IF(SUM($AO$149:$AO$169) = 0, "", SUM($AO$149:$AO$169))), "", (IF(SUM($AO$149:$AO$169) = 0, "", SUM($AO$149:$AO$169))))</f>
        <v>572776</v>
      </c>
      <c r="AP148">
        <f ca="1">IF(ISERROR(IF(SUM($AP$149:$AP$169) = 0, "", SUM($AP$149:$AP$169))), "", (IF(SUM($AP$149:$AP$169) = 0, "", SUM($AP$149:$AP$169))))</f>
        <v>517787</v>
      </c>
      <c r="AQ148">
        <f ca="1">IF(ISERROR(IF(SUM($AQ$149:$AQ$169) = 0, "", SUM($AQ$149:$AQ$169))), "", (IF(SUM($AQ$149:$AQ$169) = 0, "", SUM($AQ$149:$AQ$169))))</f>
        <v>538281</v>
      </c>
      <c r="AR148">
        <f ca="1">IF(ISERROR(IF(SUM($AR$149:$AR$169) = 0, "", SUM($AR$149:$AR$169))), "", (IF(SUM($AR$149:$AR$169) = 0, "", SUM($AR$149:$AR$169))))</f>
        <v>535543</v>
      </c>
      <c r="AS148">
        <f ca="1">IF(ISERROR(IF(SUM($AS$149:$AS$169) = 0, "", SUM($AS$149:$AS$169))), "", (IF(SUM($AS$149:$AS$169) = 0, "", SUM($AS$149:$AS$169))))</f>
        <v>529519</v>
      </c>
      <c r="AT148">
        <f ca="1">IF(ISERROR(IF(SUM($AT$149:$AT$169) = 0, "", SUM($AT$149:$AT$169))), "", (IF(SUM($AT$149:$AT$169) = 0, "", SUM($AT$149:$AT$169))))</f>
        <v>499499</v>
      </c>
      <c r="AU148">
        <f ca="1">IF(ISERROR(IF(SUM($AU$149:$AU$169) = 0, "", SUM($AU$149:$AU$169))), "", (IF(SUM($AU$149:$AU$169) = 0, "", SUM($AU$149:$AU$169))))</f>
        <v>482213</v>
      </c>
      <c r="AV148">
        <f ca="1">IF(ISERROR(IF(SUM($AV$149:$AV$169) = 0, "", SUM($AV$149:$AV$169))), "", (IF(SUM($AV$149:$AV$169) = 0, "", SUM($AV$149:$AV$169))))</f>
        <v>471074</v>
      </c>
      <c r="AW148">
        <f ca="1">IF(ISERROR(IF(SUM($AW$149:$AW$169) = 0, "", SUM($AW$149:$AW$169))), "", (IF(SUM($AW$149:$AW$169) = 0, "", SUM($AW$149:$AW$169))))</f>
        <v>498658</v>
      </c>
      <c r="AX148">
        <f ca="1">IF(ISERROR(IF(SUM($AX$149:$AX$169) = 0, "", SUM($AX$149:$AX$169))), "", (IF(SUM($AX$149:$AX$169) = 0, "", SUM($AX$149:$AX$169))))</f>
        <v>521780</v>
      </c>
      <c r="AY148">
        <f ca="1">IF(ISERROR(IF(SUM($AY$149:$AY$169) = 0, "", SUM($AY$149:$AY$169))), "", (IF(SUM($AY$149:$AY$169) = 0, "", SUM($AY$149:$AY$169))))</f>
        <v>458833</v>
      </c>
      <c r="AZ148">
        <f ca="1">IF(ISERROR(IF(SUM($AZ$149:$AZ$169) = 0, "", SUM($AZ$149:$AZ$169))), "", (IF(SUM($AZ$149:$AZ$169) = 0, "", SUM($AZ$149:$AZ$169))))</f>
        <v>452554</v>
      </c>
      <c r="BA148">
        <f ca="1">IF(ISERROR(IF(SUM($BA$149:$BA$169) = 0, "", SUM($BA$149:$BA$169))), "", (IF(SUM($BA$149:$BA$169) = 0, "", SUM($BA$149:$BA$169))))</f>
        <v>447844</v>
      </c>
      <c r="BB148">
        <f ca="1">IF(ISERROR(IF(SUM($BB$149:$BB$169) = 0, "", SUM($BB$149:$BB$169))), "", (IF(SUM($BB$149:$BB$169) = 0, "", SUM($BB$149:$BB$169))))</f>
        <v>452245</v>
      </c>
      <c r="BC148">
        <f ca="1">IF(ISERROR(IF(SUM($BC$149:$BC$169) = 0, "", SUM($BC$149:$BC$169))), "", (IF(SUM($BC$149:$BC$169) = 0, "", SUM($BC$149:$BC$169))))</f>
        <v>445406</v>
      </c>
      <c r="BD148">
        <f ca="1">IF(ISERROR(IF(SUM($BD$149:$BD$169) = 0, "", SUM($BD$149:$BD$169))), "", (IF(SUM($BD$149:$BD$169) = 0, "", SUM($BD$149:$BD$169))))</f>
        <v>453097</v>
      </c>
      <c r="BE148">
        <f ca="1">IF(ISERROR(IF(SUM($BE$149:$BE$169) = 0, "", SUM($BE$149:$BE$169))), "", (IF(SUM($BE$149:$BE$169) = 0, "", SUM($BE$149:$BE$169))))</f>
        <v>447019</v>
      </c>
      <c r="BF148">
        <f ca="1">IF(ISERROR(IF(SUM($BF$149:$BF$169) = 0, "", SUM($BF$149:$BF$169))), "", (IF(SUM($BF$149:$BF$169) = 0, "", SUM($BF$149:$BF$169))))</f>
        <v>437086</v>
      </c>
      <c r="BG148">
        <f ca="1">IF(ISERROR(IF(SUM($BG$149:$BG$169) = 0, "", SUM($BG$149:$BG$169))), "", (IF(SUM($BG$149:$BG$169) = 0, "", SUM($BG$149:$BG$169))))</f>
        <v>439786</v>
      </c>
      <c r="BH148">
        <f ca="1">IF(ISERROR(IF(SUM($BH$149:$BH$169) = 0, "", SUM($BH$149:$BH$169))), "", (IF(SUM($BH$149:$BH$169) = 0, "", SUM($BH$149:$BH$169))))</f>
        <v>440012</v>
      </c>
      <c r="BI148">
        <f ca="1">IF(ISERROR(IF(SUM($BI$149:$BI$169) = 0, "", SUM($BI$149:$BI$169))), "", (IF(SUM($BI$149:$BI$169) = 0, "", SUM($BI$149:$BI$169))))</f>
        <v>444099</v>
      </c>
      <c r="BJ148">
        <f ca="1">IF(ISERROR(IF(SUM($BJ$149:$BJ$169) = 0, "", SUM($BJ$149:$BJ$169))), "", (IF(SUM($BJ$149:$BJ$169) = 0, "", SUM($BJ$149:$BJ$169))))</f>
        <v>445737</v>
      </c>
      <c r="BK148">
        <f ca="1">IF(ISERROR(IF(SUM($BK$149:$BK$169) = 0, "", SUM($BK$149:$BK$169))), "", (IF(SUM($BK$149:$BK$169) = 0, "", SUM($BK$149:$BK$169))))</f>
        <v>476192</v>
      </c>
      <c r="BL148">
        <f ca="1">IF(ISERROR(IF(SUM($BL$149:$BL$169) = 0, "", SUM($BL$149:$BL$169))), "", (IF(SUM($BL$149:$BL$169) = 0, "", SUM($BL$149:$BL$169))))</f>
        <v>478330</v>
      </c>
      <c r="BM148" t="str">
        <f ca="1">IF(ISERROR(IF(SUM($BM$149:$BM$169) = 0, "", SUM($BM$149:$BM$169))), "", (IF(SUM($BM$149:$BM$169) = 0, "", SUM($BM$149:$BM$169))))</f>
        <v/>
      </c>
      <c r="BN148">
        <f>590961</f>
        <v>590961</v>
      </c>
      <c r="BO148">
        <f>597593</f>
        <v>597593</v>
      </c>
      <c r="BP148">
        <f>602048</f>
        <v>602048</v>
      </c>
      <c r="BQ148">
        <f>603384</f>
        <v>603384</v>
      </c>
      <c r="BR148">
        <f>608366</f>
        <v>608366</v>
      </c>
      <c r="BS148">
        <f>616573.136</f>
        <v>616573.13600000006</v>
      </c>
      <c r="BT148">
        <f>624724</f>
        <v>624724</v>
      </c>
      <c r="BU148">
        <f>634141</f>
        <v>634141</v>
      </c>
      <c r="BV148">
        <f>640236</f>
        <v>640236</v>
      </c>
      <c r="BW148">
        <f>647993</f>
        <v>647993</v>
      </c>
      <c r="BX148">
        <f>656760</f>
        <v>656760</v>
      </c>
      <c r="BY148">
        <f>658589</f>
        <v>658589</v>
      </c>
      <c r="BZ148">
        <f>659270</f>
        <v>659270</v>
      </c>
      <c r="CA148">
        <f>697257</f>
        <v>697257</v>
      </c>
      <c r="CB148">
        <f>694849</f>
        <v>694849</v>
      </c>
      <c r="CC148">
        <f>642228</f>
        <v>642228</v>
      </c>
      <c r="CD148">
        <f>642523</f>
        <v>642523</v>
      </c>
      <c r="CE148">
        <f>616331</f>
        <v>616331</v>
      </c>
      <c r="CF148">
        <f>715814</f>
        <v>715814</v>
      </c>
      <c r="CG148">
        <f>706873</f>
        <v>706873</v>
      </c>
      <c r="CH148">
        <f>657858</f>
        <v>657858</v>
      </c>
      <c r="CI148">
        <f>653530</f>
        <v>653530</v>
      </c>
      <c r="CJ148">
        <f>653821</f>
        <v>653821</v>
      </c>
      <c r="CK148">
        <f>635144</f>
        <v>635144</v>
      </c>
      <c r="CL148">
        <f>46796</f>
        <v>46796</v>
      </c>
      <c r="CM148">
        <f>616945</f>
        <v>616945</v>
      </c>
      <c r="CN148">
        <f>599377</f>
        <v>599377</v>
      </c>
      <c r="CO148">
        <f>593540</f>
        <v>593540</v>
      </c>
      <c r="CP148">
        <f>539881</f>
        <v>539881</v>
      </c>
      <c r="CQ148">
        <f>567676</f>
        <v>567676</v>
      </c>
      <c r="CR148">
        <f>554166</f>
        <v>554166</v>
      </c>
      <c r="CS148">
        <f>544335</f>
        <v>544335</v>
      </c>
      <c r="CT148">
        <f>520359</f>
        <v>520359</v>
      </c>
      <c r="CU148">
        <f>538497</f>
        <v>538497</v>
      </c>
      <c r="CV148">
        <f>541309</f>
        <v>541309</v>
      </c>
      <c r="CW148">
        <f>572776</f>
        <v>572776</v>
      </c>
      <c r="CX148">
        <f>517787</f>
        <v>517787</v>
      </c>
      <c r="CY148">
        <f>538281</f>
        <v>538281</v>
      </c>
      <c r="CZ148">
        <f>535543</f>
        <v>535543</v>
      </c>
      <c r="DA148">
        <f>529519</f>
        <v>529519</v>
      </c>
      <c r="DB148">
        <f>499499</f>
        <v>499499</v>
      </c>
      <c r="DC148">
        <f>482213</f>
        <v>482213</v>
      </c>
      <c r="DD148">
        <f>471074</f>
        <v>471074</v>
      </c>
      <c r="DE148">
        <f>498658</f>
        <v>498658</v>
      </c>
      <c r="DF148">
        <f>521780</f>
        <v>521780</v>
      </c>
      <c r="DG148">
        <f>458833</f>
        <v>458833</v>
      </c>
      <c r="DH148">
        <f>452554</f>
        <v>452554</v>
      </c>
      <c r="DI148">
        <f>447844</f>
        <v>447844</v>
      </c>
      <c r="DJ148">
        <f>452245</f>
        <v>452245</v>
      </c>
      <c r="DK148">
        <f>445406</f>
        <v>445406</v>
      </c>
      <c r="DL148">
        <f>453097</f>
        <v>453097</v>
      </c>
      <c r="DM148">
        <f>447019</f>
        <v>447019</v>
      </c>
      <c r="DN148">
        <f>437086</f>
        <v>437086</v>
      </c>
      <c r="DO148">
        <f>439786</f>
        <v>439786</v>
      </c>
      <c r="DP148">
        <f>440012</f>
        <v>440012</v>
      </c>
      <c r="DQ148">
        <f>444099</f>
        <v>444099</v>
      </c>
      <c r="DR148">
        <f>445737</f>
        <v>445737</v>
      </c>
      <c r="DS148">
        <f>476192</f>
        <v>476192</v>
      </c>
      <c r="DT148">
        <f>478330</f>
        <v>478330</v>
      </c>
      <c r="DU148" t="str">
        <f>""</f>
        <v/>
      </c>
    </row>
    <row r="149" spans="1:125">
      <c r="A149" t="str">
        <f>"    Bank OZK"</f>
        <v xml:space="preserve">    Bank OZK</v>
      </c>
      <c r="B149" t="str">
        <f>"OZK US Equity"</f>
        <v>OZK US Equity</v>
      </c>
      <c r="C149" t="str">
        <f t="shared" ref="C149:C169" si="19">"BS963"</f>
        <v>BS963</v>
      </c>
      <c r="D149" t="str">
        <f t="shared" ref="D149:D169" si="20">"BS_COMML_MTG_SERVICED_OTHERS"</f>
        <v>BS_COMML_MTG_SERVICED_OTHERS</v>
      </c>
      <c r="E149" t="str">
        <f t="shared" ref="E149:E169" si="21">"Dynamic"</f>
        <v>Dynamic</v>
      </c>
      <c r="F149" t="str">
        <f ca="1">IF(AND(ISNUMBER($F$344),$B$185=1),$F$344,HLOOKUP(INDIRECT(ADDRESS(2,COLUMN())),OFFSET($BN$2,0,0,ROW()-1,60),ROW()-1,FALSE))</f>
        <v/>
      </c>
      <c r="G149" t="str">
        <f ca="1">IF(AND(ISNUMBER($G$344),$B$185=1),$G$344,HLOOKUP(INDIRECT(ADDRESS(2,COLUMN())),OFFSET($BN$2,0,0,ROW()-1,60),ROW()-1,FALSE))</f>
        <v/>
      </c>
      <c r="H149" t="str">
        <f ca="1">IF(AND(ISNUMBER($H$344),$B$185=1),$H$344,HLOOKUP(INDIRECT(ADDRESS(2,COLUMN())),OFFSET($BN$2,0,0,ROW()-1,60),ROW()-1,FALSE))</f>
        <v/>
      </c>
      <c r="I149" t="str">
        <f ca="1">IF(AND(ISNUMBER($I$344),$B$185=1),$I$344,HLOOKUP(INDIRECT(ADDRESS(2,COLUMN())),OFFSET($BN$2,0,0,ROW()-1,60),ROW()-1,FALSE))</f>
        <v/>
      </c>
      <c r="J149" t="str">
        <f ca="1">IF(AND(ISNUMBER($J$344),$B$185=1),$J$344,HLOOKUP(INDIRECT(ADDRESS(2,COLUMN())),OFFSET($BN$2,0,0,ROW()-1,60),ROW()-1,FALSE))</f>
        <v/>
      </c>
      <c r="K149" t="str">
        <f ca="1">IF(AND(ISNUMBER($K$344),$B$185=1),$K$344,HLOOKUP(INDIRECT(ADDRESS(2,COLUMN())),OFFSET($BN$2,0,0,ROW()-1,60),ROW()-1,FALSE))</f>
        <v/>
      </c>
      <c r="L149" t="str">
        <f ca="1">IF(AND(ISNUMBER($L$344),$B$185=1),$L$344,HLOOKUP(INDIRECT(ADDRESS(2,COLUMN())),OFFSET($BN$2,0,0,ROW()-1,60),ROW()-1,FALSE))</f>
        <v/>
      </c>
      <c r="M149" t="str">
        <f ca="1">IF(AND(ISNUMBER($M$344),$B$185=1),$M$344,HLOOKUP(INDIRECT(ADDRESS(2,COLUMN())),OFFSET($BN$2,0,0,ROW()-1,60),ROW()-1,FALSE))</f>
        <v/>
      </c>
      <c r="N149" t="str">
        <f ca="1">IF(AND(ISNUMBER($N$344),$B$185=1),$N$344,HLOOKUP(INDIRECT(ADDRESS(2,COLUMN())),OFFSET($BN$2,0,0,ROW()-1,60),ROW()-1,FALSE))</f>
        <v/>
      </c>
      <c r="O149" t="str">
        <f ca="1">IF(AND(ISNUMBER($O$344),$B$185=1),$O$344,HLOOKUP(INDIRECT(ADDRESS(2,COLUMN())),OFFSET($BN$2,0,0,ROW()-1,60),ROW()-1,FALSE))</f>
        <v/>
      </c>
      <c r="P149" t="str">
        <f ca="1">IF(AND(ISNUMBER($P$344),$B$185=1),$P$344,HLOOKUP(INDIRECT(ADDRESS(2,COLUMN())),OFFSET($BN$2,0,0,ROW()-1,60),ROW()-1,FALSE))</f>
        <v/>
      </c>
      <c r="Q149" t="str">
        <f ca="1">IF(AND(ISNUMBER($Q$344),$B$185=1),$Q$344,HLOOKUP(INDIRECT(ADDRESS(2,COLUMN())),OFFSET($BN$2,0,0,ROW()-1,60),ROW()-1,FALSE))</f>
        <v/>
      </c>
      <c r="R149" t="str">
        <f ca="1">IF(AND(ISNUMBER($R$344),$B$185=1),$R$344,HLOOKUP(INDIRECT(ADDRESS(2,COLUMN())),OFFSET($BN$2,0,0,ROW()-1,60),ROW()-1,FALSE))</f>
        <v/>
      </c>
      <c r="S149" t="str">
        <f ca="1">IF(AND(ISNUMBER($S$344),$B$185=1),$S$344,HLOOKUP(INDIRECT(ADDRESS(2,COLUMN())),OFFSET($BN$2,0,0,ROW()-1,60),ROW()-1,FALSE))</f>
        <v/>
      </c>
      <c r="T149" t="str">
        <f ca="1">IF(AND(ISNUMBER($T$344),$B$185=1),$T$344,HLOOKUP(INDIRECT(ADDRESS(2,COLUMN())),OFFSET($BN$2,0,0,ROW()-1,60),ROW()-1,FALSE))</f>
        <v/>
      </c>
      <c r="U149" t="str">
        <f ca="1">IF(AND(ISNUMBER($U$344),$B$185=1),$U$344,HLOOKUP(INDIRECT(ADDRESS(2,COLUMN())),OFFSET($BN$2,0,0,ROW()-1,60),ROW()-1,FALSE))</f>
        <v/>
      </c>
      <c r="V149" t="str">
        <f ca="1">IF(AND(ISNUMBER($V$344),$B$185=1),$V$344,HLOOKUP(INDIRECT(ADDRESS(2,COLUMN())),OFFSET($BN$2,0,0,ROW()-1,60),ROW()-1,FALSE))</f>
        <v/>
      </c>
      <c r="W149" t="str">
        <f ca="1">IF(AND(ISNUMBER($W$344),$B$185=1),$W$344,HLOOKUP(INDIRECT(ADDRESS(2,COLUMN())),OFFSET($BN$2,0,0,ROW()-1,60),ROW()-1,FALSE))</f>
        <v/>
      </c>
      <c r="X149" t="str">
        <f ca="1">IF(AND(ISNUMBER($X$344),$B$185=1),$X$344,HLOOKUP(INDIRECT(ADDRESS(2,COLUMN())),OFFSET($BN$2,0,0,ROW()-1,60),ROW()-1,FALSE))</f>
        <v/>
      </c>
      <c r="Y149" t="str">
        <f ca="1">IF(AND(ISNUMBER($Y$344),$B$185=1),$Y$344,HLOOKUP(INDIRECT(ADDRESS(2,COLUMN())),OFFSET($BN$2,0,0,ROW()-1,60),ROW()-1,FALSE))</f>
        <v/>
      </c>
      <c r="Z149" t="str">
        <f ca="1">IF(AND(ISNUMBER($Z$344),$B$185=1),$Z$344,HLOOKUP(INDIRECT(ADDRESS(2,COLUMN())),OFFSET($BN$2,0,0,ROW()-1,60),ROW()-1,FALSE))</f>
        <v/>
      </c>
      <c r="AA149" t="str">
        <f ca="1">IF(AND(ISNUMBER($AA$344),$B$185=1),$AA$344,HLOOKUP(INDIRECT(ADDRESS(2,COLUMN())),OFFSET($BN$2,0,0,ROW()-1,60),ROW()-1,FALSE))</f>
        <v/>
      </c>
      <c r="AB149" t="str">
        <f ca="1">IF(AND(ISNUMBER($AB$344),$B$185=1),$AB$344,HLOOKUP(INDIRECT(ADDRESS(2,COLUMN())),OFFSET($BN$2,0,0,ROW()-1,60),ROW()-1,FALSE))</f>
        <v/>
      </c>
      <c r="AC149" t="str">
        <f ca="1">IF(AND(ISNUMBER($AC$344),$B$185=1),$AC$344,HLOOKUP(INDIRECT(ADDRESS(2,COLUMN())),OFFSET($BN$2,0,0,ROW()-1,60),ROW()-1,FALSE))</f>
        <v/>
      </c>
      <c r="AD149" t="str">
        <f ca="1">IF(AND(ISNUMBER($AD$344),$B$185=1),$AD$344,HLOOKUP(INDIRECT(ADDRESS(2,COLUMN())),OFFSET($BN$2,0,0,ROW()-1,60),ROW()-1,FALSE))</f>
        <v/>
      </c>
      <c r="AE149" t="str">
        <f ca="1">IF(AND(ISNUMBER($AE$344),$B$185=1),$AE$344,HLOOKUP(INDIRECT(ADDRESS(2,COLUMN())),OFFSET($BN$2,0,0,ROW()-1,60),ROW()-1,FALSE))</f>
        <v/>
      </c>
      <c r="AF149" t="str">
        <f ca="1">IF(AND(ISNUMBER($AF$344),$B$185=1),$AF$344,HLOOKUP(INDIRECT(ADDRESS(2,COLUMN())),OFFSET($BN$2,0,0,ROW()-1,60),ROW()-1,FALSE))</f>
        <v/>
      </c>
      <c r="AG149" t="str">
        <f ca="1">IF(AND(ISNUMBER($AG$344),$B$185=1),$AG$344,HLOOKUP(INDIRECT(ADDRESS(2,COLUMN())),OFFSET($BN$2,0,0,ROW()-1,60),ROW()-1,FALSE))</f>
        <v/>
      </c>
      <c r="AH149" t="str">
        <f ca="1">IF(AND(ISNUMBER($AH$344),$B$185=1),$AH$344,HLOOKUP(INDIRECT(ADDRESS(2,COLUMN())),OFFSET($BN$2,0,0,ROW()-1,60),ROW()-1,FALSE))</f>
        <v/>
      </c>
      <c r="AI149" t="str">
        <f ca="1">IF(AND(ISNUMBER($AI$344),$B$185=1),$AI$344,HLOOKUP(INDIRECT(ADDRESS(2,COLUMN())),OFFSET($BN$2,0,0,ROW()-1,60),ROW()-1,FALSE))</f>
        <v/>
      </c>
      <c r="AJ149" t="str">
        <f ca="1">IF(AND(ISNUMBER($AJ$344),$B$185=1),$AJ$344,HLOOKUP(INDIRECT(ADDRESS(2,COLUMN())),OFFSET($BN$2,0,0,ROW()-1,60),ROW()-1,FALSE))</f>
        <v/>
      </c>
      <c r="AK149" t="str">
        <f ca="1">IF(AND(ISNUMBER($AK$344),$B$185=1),$AK$344,HLOOKUP(INDIRECT(ADDRESS(2,COLUMN())),OFFSET($BN$2,0,0,ROW()-1,60),ROW()-1,FALSE))</f>
        <v/>
      </c>
      <c r="AL149" t="str">
        <f ca="1">IF(AND(ISNUMBER($AL$344),$B$185=1),$AL$344,HLOOKUP(INDIRECT(ADDRESS(2,COLUMN())),OFFSET($BN$2,0,0,ROW()-1,60),ROW()-1,FALSE))</f>
        <v/>
      </c>
      <c r="AM149" t="str">
        <f ca="1">IF(AND(ISNUMBER($AM$344),$B$185=1),$AM$344,HLOOKUP(INDIRECT(ADDRESS(2,COLUMN())),OFFSET($BN$2,0,0,ROW()-1,60),ROW()-1,FALSE))</f>
        <v/>
      </c>
      <c r="AN149" t="str">
        <f ca="1">IF(AND(ISNUMBER($AN$344),$B$185=1),$AN$344,HLOOKUP(INDIRECT(ADDRESS(2,COLUMN())),OFFSET($BN$2,0,0,ROW()-1,60),ROW()-1,FALSE))</f>
        <v/>
      </c>
      <c r="AO149" t="str">
        <f ca="1">IF(AND(ISNUMBER($AO$344),$B$185=1),$AO$344,HLOOKUP(INDIRECT(ADDRESS(2,COLUMN())),OFFSET($BN$2,0,0,ROW()-1,60),ROW()-1,FALSE))</f>
        <v/>
      </c>
      <c r="AP149" t="str">
        <f ca="1">IF(AND(ISNUMBER($AP$344),$B$185=1),$AP$344,HLOOKUP(INDIRECT(ADDRESS(2,COLUMN())),OFFSET($BN$2,0,0,ROW()-1,60),ROW()-1,FALSE))</f>
        <v/>
      </c>
      <c r="AQ149" t="str">
        <f ca="1">IF(AND(ISNUMBER($AQ$344),$B$185=1),$AQ$344,HLOOKUP(INDIRECT(ADDRESS(2,COLUMN())),OFFSET($BN$2,0,0,ROW()-1,60),ROW()-1,FALSE))</f>
        <v/>
      </c>
      <c r="AR149" t="str">
        <f ca="1">IF(AND(ISNUMBER($AR$344),$B$185=1),$AR$344,HLOOKUP(INDIRECT(ADDRESS(2,COLUMN())),OFFSET($BN$2,0,0,ROW()-1,60),ROW()-1,FALSE))</f>
        <v/>
      </c>
      <c r="AS149" t="str">
        <f ca="1">IF(AND(ISNUMBER($AS$344),$B$185=1),$AS$344,HLOOKUP(INDIRECT(ADDRESS(2,COLUMN())),OFFSET($BN$2,0,0,ROW()-1,60),ROW()-1,FALSE))</f>
        <v/>
      </c>
      <c r="AT149" t="str">
        <f ca="1">IF(AND(ISNUMBER($AT$344),$B$185=1),$AT$344,HLOOKUP(INDIRECT(ADDRESS(2,COLUMN())),OFFSET($BN$2,0,0,ROW()-1,60),ROW()-1,FALSE))</f>
        <v/>
      </c>
      <c r="AU149" t="str">
        <f ca="1">IF(AND(ISNUMBER($AU$344),$B$185=1),$AU$344,HLOOKUP(INDIRECT(ADDRESS(2,COLUMN())),OFFSET($BN$2,0,0,ROW()-1,60),ROW()-1,FALSE))</f>
        <v/>
      </c>
      <c r="AV149" t="str">
        <f ca="1">IF(AND(ISNUMBER($AV$344),$B$185=1),$AV$344,HLOOKUP(INDIRECT(ADDRESS(2,COLUMN())),OFFSET($BN$2,0,0,ROW()-1,60),ROW()-1,FALSE))</f>
        <v/>
      </c>
      <c r="AW149" t="str">
        <f ca="1">IF(AND(ISNUMBER($AW$344),$B$185=1),$AW$344,HLOOKUP(INDIRECT(ADDRESS(2,COLUMN())),OFFSET($BN$2,0,0,ROW()-1,60),ROW()-1,FALSE))</f>
        <v/>
      </c>
      <c r="AX149" t="str">
        <f ca="1">IF(AND(ISNUMBER($AX$344),$B$185=1),$AX$344,HLOOKUP(INDIRECT(ADDRESS(2,COLUMN())),OFFSET($BN$2,0,0,ROW()-1,60),ROW()-1,FALSE))</f>
        <v/>
      </c>
      <c r="AY149" t="str">
        <f ca="1">IF(AND(ISNUMBER($AY$344),$B$185=1),$AY$344,HLOOKUP(INDIRECT(ADDRESS(2,COLUMN())),OFFSET($BN$2,0,0,ROW()-1,60),ROW()-1,FALSE))</f>
        <v/>
      </c>
      <c r="AZ149" t="str">
        <f ca="1">IF(AND(ISNUMBER($AZ$344),$B$185=1),$AZ$344,HLOOKUP(INDIRECT(ADDRESS(2,COLUMN())),OFFSET($BN$2,0,0,ROW()-1,60),ROW()-1,FALSE))</f>
        <v/>
      </c>
      <c r="BA149" t="str">
        <f ca="1">IF(AND(ISNUMBER($BA$344),$B$185=1),$BA$344,HLOOKUP(INDIRECT(ADDRESS(2,COLUMN())),OFFSET($BN$2,0,0,ROW()-1,60),ROW()-1,FALSE))</f>
        <v/>
      </c>
      <c r="BB149" t="str">
        <f ca="1">IF(AND(ISNUMBER($BB$344),$B$185=1),$BB$344,HLOOKUP(INDIRECT(ADDRESS(2,COLUMN())),OFFSET($BN$2,0,0,ROW()-1,60),ROW()-1,FALSE))</f>
        <v/>
      </c>
      <c r="BC149" t="str">
        <f ca="1">IF(AND(ISNUMBER($BC$344),$B$185=1),$BC$344,HLOOKUP(INDIRECT(ADDRESS(2,COLUMN())),OFFSET($BN$2,0,0,ROW()-1,60),ROW()-1,FALSE))</f>
        <v/>
      </c>
      <c r="BD149" t="str">
        <f ca="1">IF(AND(ISNUMBER($BD$344),$B$185=1),$BD$344,HLOOKUP(INDIRECT(ADDRESS(2,COLUMN())),OFFSET($BN$2,0,0,ROW()-1,60),ROW()-1,FALSE))</f>
        <v/>
      </c>
      <c r="BE149" t="str">
        <f ca="1">IF(AND(ISNUMBER($BE$344),$B$185=1),$BE$344,HLOOKUP(INDIRECT(ADDRESS(2,COLUMN())),OFFSET($BN$2,0,0,ROW()-1,60),ROW()-1,FALSE))</f>
        <v/>
      </c>
      <c r="BF149" t="str">
        <f ca="1">IF(AND(ISNUMBER($BF$344),$B$185=1),$BF$344,HLOOKUP(INDIRECT(ADDRESS(2,COLUMN())),OFFSET($BN$2,0,0,ROW()-1,60),ROW()-1,FALSE))</f>
        <v/>
      </c>
      <c r="BG149" t="str">
        <f ca="1">IF(AND(ISNUMBER($BG$344),$B$185=1),$BG$344,HLOOKUP(INDIRECT(ADDRESS(2,COLUMN())),OFFSET($BN$2,0,0,ROW()-1,60),ROW()-1,FALSE))</f>
        <v/>
      </c>
      <c r="BH149" t="str">
        <f ca="1">IF(AND(ISNUMBER($BH$344),$B$185=1),$BH$344,HLOOKUP(INDIRECT(ADDRESS(2,COLUMN())),OFFSET($BN$2,0,0,ROW()-1,60),ROW()-1,FALSE))</f>
        <v/>
      </c>
      <c r="BI149" t="str">
        <f ca="1">IF(AND(ISNUMBER($BI$344),$B$185=1),$BI$344,HLOOKUP(INDIRECT(ADDRESS(2,COLUMN())),OFFSET($BN$2,0,0,ROW()-1,60),ROW()-1,FALSE))</f>
        <v/>
      </c>
      <c r="BJ149" t="str">
        <f ca="1">IF(AND(ISNUMBER($BJ$344),$B$185=1),$BJ$344,HLOOKUP(INDIRECT(ADDRESS(2,COLUMN())),OFFSET($BN$2,0,0,ROW()-1,60),ROW()-1,FALSE))</f>
        <v/>
      </c>
      <c r="BK149" t="str">
        <f ca="1">IF(AND(ISNUMBER($BK$344),$B$185=1),$BK$344,HLOOKUP(INDIRECT(ADDRESS(2,COLUMN())),OFFSET($BN$2,0,0,ROW()-1,60),ROW()-1,FALSE))</f>
        <v/>
      </c>
      <c r="BL149" t="str">
        <f ca="1">IF(AND(ISNUMBER($BL$344),$B$185=1),$BL$344,HLOOKUP(INDIRECT(ADDRESS(2,COLUMN())),OFFSET($BN$2,0,0,ROW()-1,60),ROW()-1,FALSE))</f>
        <v/>
      </c>
      <c r="BM149" t="str">
        <f ca="1">IF(AND(ISNUMBER($BM$344),$B$185=1),$BM$344,HLOOKUP(INDIRECT(ADDRESS(2,COLUMN())),OFFSET($BN$2,0,0,ROW()-1,60),ROW()-1,FALSE))</f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>
      <c r="A150" t="str">
        <f>"    Citizens Financial Group Inc"</f>
        <v xml:space="preserve">    Citizens Financial Group Inc</v>
      </c>
      <c r="B150" t="str">
        <f>"CFG US Equity"</f>
        <v>CFG US Equity</v>
      </c>
      <c r="C150" t="str">
        <f t="shared" si="19"/>
        <v>BS963</v>
      </c>
      <c r="D150" t="str">
        <f t="shared" si="20"/>
        <v>BS_COMML_MTG_SERVICED_OTHERS</v>
      </c>
      <c r="E150" t="str">
        <f t="shared" si="21"/>
        <v>Dynamic</v>
      </c>
      <c r="F150" t="str">
        <f ca="1">IF(AND(ISNUMBER($F$345),$B$185=1),$F$345,HLOOKUP(INDIRECT(ADDRESS(2,COLUMN())),OFFSET($BN$2,0,0,ROW()-1,60),ROW()-1,FALSE))</f>
        <v/>
      </c>
      <c r="G150" t="str">
        <f ca="1">IF(AND(ISNUMBER($G$345),$B$185=1),$G$345,HLOOKUP(INDIRECT(ADDRESS(2,COLUMN())),OFFSET($BN$2,0,0,ROW()-1,60),ROW()-1,FALSE))</f>
        <v/>
      </c>
      <c r="H150" t="str">
        <f ca="1">IF(AND(ISNUMBER($H$345),$B$185=1),$H$345,HLOOKUP(INDIRECT(ADDRESS(2,COLUMN())),OFFSET($BN$2,0,0,ROW()-1,60),ROW()-1,FALSE))</f>
        <v/>
      </c>
      <c r="I150" t="str">
        <f ca="1">IF(AND(ISNUMBER($I$345),$B$185=1),$I$345,HLOOKUP(INDIRECT(ADDRESS(2,COLUMN())),OFFSET($BN$2,0,0,ROW()-1,60),ROW()-1,FALSE))</f>
        <v/>
      </c>
      <c r="J150" t="str">
        <f ca="1">IF(AND(ISNUMBER($J$345),$B$185=1),$J$345,HLOOKUP(INDIRECT(ADDRESS(2,COLUMN())),OFFSET($BN$2,0,0,ROW()-1,60),ROW()-1,FALSE))</f>
        <v/>
      </c>
      <c r="K150" t="str">
        <f ca="1">IF(AND(ISNUMBER($K$345),$B$185=1),$K$345,HLOOKUP(INDIRECT(ADDRESS(2,COLUMN())),OFFSET($BN$2,0,0,ROW()-1,60),ROW()-1,FALSE))</f>
        <v/>
      </c>
      <c r="L150" t="str">
        <f ca="1">IF(AND(ISNUMBER($L$345),$B$185=1),$L$345,HLOOKUP(INDIRECT(ADDRESS(2,COLUMN())),OFFSET($BN$2,0,0,ROW()-1,60),ROW()-1,FALSE))</f>
        <v/>
      </c>
      <c r="M150" t="str">
        <f ca="1">IF(AND(ISNUMBER($M$345),$B$185=1),$M$345,HLOOKUP(INDIRECT(ADDRESS(2,COLUMN())),OFFSET($BN$2,0,0,ROW()-1,60),ROW()-1,FALSE))</f>
        <v/>
      </c>
      <c r="N150" t="str">
        <f ca="1">IF(AND(ISNUMBER($N$345),$B$185=1),$N$345,HLOOKUP(INDIRECT(ADDRESS(2,COLUMN())),OFFSET($BN$2,0,0,ROW()-1,60),ROW()-1,FALSE))</f>
        <v/>
      </c>
      <c r="O150" t="str">
        <f ca="1">IF(AND(ISNUMBER($O$345),$B$185=1),$O$345,HLOOKUP(INDIRECT(ADDRESS(2,COLUMN())),OFFSET($BN$2,0,0,ROW()-1,60),ROW()-1,FALSE))</f>
        <v/>
      </c>
      <c r="P150" t="str">
        <f ca="1">IF(AND(ISNUMBER($P$345),$B$185=1),$P$345,HLOOKUP(INDIRECT(ADDRESS(2,COLUMN())),OFFSET($BN$2,0,0,ROW()-1,60),ROW()-1,FALSE))</f>
        <v/>
      </c>
      <c r="Q150" t="str">
        <f ca="1">IF(AND(ISNUMBER($Q$345),$B$185=1),$Q$345,HLOOKUP(INDIRECT(ADDRESS(2,COLUMN())),OFFSET($BN$2,0,0,ROW()-1,60),ROW()-1,FALSE))</f>
        <v/>
      </c>
      <c r="R150" t="str">
        <f ca="1">IF(AND(ISNUMBER($R$345),$B$185=1),$R$345,HLOOKUP(INDIRECT(ADDRESS(2,COLUMN())),OFFSET($BN$2,0,0,ROW()-1,60),ROW()-1,FALSE))</f>
        <v/>
      </c>
      <c r="S150" t="str">
        <f ca="1">IF(AND(ISNUMBER($S$345),$B$185=1),$S$345,HLOOKUP(INDIRECT(ADDRESS(2,COLUMN())),OFFSET($BN$2,0,0,ROW()-1,60),ROW()-1,FALSE))</f>
        <v/>
      </c>
      <c r="T150" t="str">
        <f ca="1">IF(AND(ISNUMBER($T$345),$B$185=1),$T$345,HLOOKUP(INDIRECT(ADDRESS(2,COLUMN())),OFFSET($BN$2,0,0,ROW()-1,60),ROW()-1,FALSE))</f>
        <v/>
      </c>
      <c r="U150" t="str">
        <f ca="1">IF(AND(ISNUMBER($U$345),$B$185=1),$U$345,HLOOKUP(INDIRECT(ADDRESS(2,COLUMN())),OFFSET($BN$2,0,0,ROW()-1,60),ROW()-1,FALSE))</f>
        <v/>
      </c>
      <c r="V150" t="str">
        <f ca="1">IF(AND(ISNUMBER($V$345),$B$185=1),$V$345,HLOOKUP(INDIRECT(ADDRESS(2,COLUMN())),OFFSET($BN$2,0,0,ROW()-1,60),ROW()-1,FALSE))</f>
        <v/>
      </c>
      <c r="W150" t="str">
        <f ca="1">IF(AND(ISNUMBER($W$345),$B$185=1),$W$345,HLOOKUP(INDIRECT(ADDRESS(2,COLUMN())),OFFSET($BN$2,0,0,ROW()-1,60),ROW()-1,FALSE))</f>
        <v/>
      </c>
      <c r="X150" t="str">
        <f ca="1">IF(AND(ISNUMBER($X$345),$B$185=1),$X$345,HLOOKUP(INDIRECT(ADDRESS(2,COLUMN())),OFFSET($BN$2,0,0,ROW()-1,60),ROW()-1,FALSE))</f>
        <v/>
      </c>
      <c r="Y150" t="str">
        <f ca="1">IF(AND(ISNUMBER($Y$345),$B$185=1),$Y$345,HLOOKUP(INDIRECT(ADDRESS(2,COLUMN())),OFFSET($BN$2,0,0,ROW()-1,60),ROW()-1,FALSE))</f>
        <v/>
      </c>
      <c r="Z150" t="str">
        <f ca="1">IF(AND(ISNUMBER($Z$345),$B$185=1),$Z$345,HLOOKUP(INDIRECT(ADDRESS(2,COLUMN())),OFFSET($BN$2,0,0,ROW()-1,60),ROW()-1,FALSE))</f>
        <v/>
      </c>
      <c r="AA150" t="str">
        <f ca="1">IF(AND(ISNUMBER($AA$345),$B$185=1),$AA$345,HLOOKUP(INDIRECT(ADDRESS(2,COLUMN())),OFFSET($BN$2,0,0,ROW()-1,60),ROW()-1,FALSE))</f>
        <v/>
      </c>
      <c r="AB150" t="str">
        <f ca="1">IF(AND(ISNUMBER($AB$345),$B$185=1),$AB$345,HLOOKUP(INDIRECT(ADDRESS(2,COLUMN())),OFFSET($BN$2,0,0,ROW()-1,60),ROW()-1,FALSE))</f>
        <v/>
      </c>
      <c r="AC150" t="str">
        <f ca="1">IF(AND(ISNUMBER($AC$345),$B$185=1),$AC$345,HLOOKUP(INDIRECT(ADDRESS(2,COLUMN())),OFFSET($BN$2,0,0,ROW()-1,60),ROW()-1,FALSE))</f>
        <v/>
      </c>
      <c r="AD150" t="str">
        <f ca="1">IF(AND(ISNUMBER($AD$345),$B$185=1),$AD$345,HLOOKUP(INDIRECT(ADDRESS(2,COLUMN())),OFFSET($BN$2,0,0,ROW()-1,60),ROW()-1,FALSE))</f>
        <v/>
      </c>
      <c r="AE150" t="str">
        <f ca="1">IF(AND(ISNUMBER($AE$345),$B$185=1),$AE$345,HLOOKUP(INDIRECT(ADDRESS(2,COLUMN())),OFFSET($BN$2,0,0,ROW()-1,60),ROW()-1,FALSE))</f>
        <v/>
      </c>
      <c r="AF150" t="str">
        <f ca="1">IF(AND(ISNUMBER($AF$345),$B$185=1),$AF$345,HLOOKUP(INDIRECT(ADDRESS(2,COLUMN())),OFFSET($BN$2,0,0,ROW()-1,60),ROW()-1,FALSE))</f>
        <v/>
      </c>
      <c r="AG150" t="str">
        <f ca="1">IF(AND(ISNUMBER($AG$345),$B$185=1),$AG$345,HLOOKUP(INDIRECT(ADDRESS(2,COLUMN())),OFFSET($BN$2,0,0,ROW()-1,60),ROW()-1,FALSE))</f>
        <v/>
      </c>
      <c r="AH150" t="str">
        <f ca="1">IF(AND(ISNUMBER($AH$345),$B$185=1),$AH$345,HLOOKUP(INDIRECT(ADDRESS(2,COLUMN())),OFFSET($BN$2,0,0,ROW()-1,60),ROW()-1,FALSE))</f>
        <v/>
      </c>
      <c r="AI150" t="str">
        <f ca="1">IF(AND(ISNUMBER($AI$345),$B$185=1),$AI$345,HLOOKUP(INDIRECT(ADDRESS(2,COLUMN())),OFFSET($BN$2,0,0,ROW()-1,60),ROW()-1,FALSE))</f>
        <v/>
      </c>
      <c r="AJ150" t="str">
        <f ca="1">IF(AND(ISNUMBER($AJ$345),$B$185=1),$AJ$345,HLOOKUP(INDIRECT(ADDRESS(2,COLUMN())),OFFSET($BN$2,0,0,ROW()-1,60),ROW()-1,FALSE))</f>
        <v/>
      </c>
      <c r="AK150" t="str">
        <f ca="1">IF(AND(ISNUMBER($AK$345),$B$185=1),$AK$345,HLOOKUP(INDIRECT(ADDRESS(2,COLUMN())),OFFSET($BN$2,0,0,ROW()-1,60),ROW()-1,FALSE))</f>
        <v/>
      </c>
      <c r="AL150" t="str">
        <f ca="1">IF(AND(ISNUMBER($AL$345),$B$185=1),$AL$345,HLOOKUP(INDIRECT(ADDRESS(2,COLUMN())),OFFSET($BN$2,0,0,ROW()-1,60),ROW()-1,FALSE))</f>
        <v/>
      </c>
      <c r="AM150" t="str">
        <f ca="1">IF(AND(ISNUMBER($AM$345),$B$185=1),$AM$345,HLOOKUP(INDIRECT(ADDRESS(2,COLUMN())),OFFSET($BN$2,0,0,ROW()-1,60),ROW()-1,FALSE))</f>
        <v/>
      </c>
      <c r="AN150" t="str">
        <f ca="1">IF(AND(ISNUMBER($AN$345),$B$185=1),$AN$345,HLOOKUP(INDIRECT(ADDRESS(2,COLUMN())),OFFSET($BN$2,0,0,ROW()-1,60),ROW()-1,FALSE))</f>
        <v/>
      </c>
      <c r="AO150" t="str">
        <f ca="1">IF(AND(ISNUMBER($AO$345),$B$185=1),$AO$345,HLOOKUP(INDIRECT(ADDRESS(2,COLUMN())),OFFSET($BN$2,0,0,ROW()-1,60),ROW()-1,FALSE))</f>
        <v/>
      </c>
      <c r="AP150" t="str">
        <f ca="1">IF(AND(ISNUMBER($AP$345),$B$185=1),$AP$345,HLOOKUP(INDIRECT(ADDRESS(2,COLUMN())),OFFSET($BN$2,0,0,ROW()-1,60),ROW()-1,FALSE))</f>
        <v/>
      </c>
      <c r="AQ150" t="str">
        <f ca="1">IF(AND(ISNUMBER($AQ$345),$B$185=1),$AQ$345,HLOOKUP(INDIRECT(ADDRESS(2,COLUMN())),OFFSET($BN$2,0,0,ROW()-1,60),ROW()-1,FALSE))</f>
        <v/>
      </c>
      <c r="AR150" t="str">
        <f ca="1">IF(AND(ISNUMBER($AR$345),$B$185=1),$AR$345,HLOOKUP(INDIRECT(ADDRESS(2,COLUMN())),OFFSET($BN$2,0,0,ROW()-1,60),ROW()-1,FALSE))</f>
        <v/>
      </c>
      <c r="AS150" t="str">
        <f ca="1">IF(AND(ISNUMBER($AS$345),$B$185=1),$AS$345,HLOOKUP(INDIRECT(ADDRESS(2,COLUMN())),OFFSET($BN$2,0,0,ROW()-1,60),ROW()-1,FALSE))</f>
        <v/>
      </c>
      <c r="AT150" t="str">
        <f ca="1">IF(AND(ISNUMBER($AT$345),$B$185=1),$AT$345,HLOOKUP(INDIRECT(ADDRESS(2,COLUMN())),OFFSET($BN$2,0,0,ROW()-1,60),ROW()-1,FALSE))</f>
        <v/>
      </c>
      <c r="AU150" t="str">
        <f ca="1">IF(AND(ISNUMBER($AU$345),$B$185=1),$AU$345,HLOOKUP(INDIRECT(ADDRESS(2,COLUMN())),OFFSET($BN$2,0,0,ROW()-1,60),ROW()-1,FALSE))</f>
        <v/>
      </c>
      <c r="AV150" t="str">
        <f ca="1">IF(AND(ISNUMBER($AV$345),$B$185=1),$AV$345,HLOOKUP(INDIRECT(ADDRESS(2,COLUMN())),OFFSET($BN$2,0,0,ROW()-1,60),ROW()-1,FALSE))</f>
        <v/>
      </c>
      <c r="AW150" t="str">
        <f ca="1">IF(AND(ISNUMBER($AW$345),$B$185=1),$AW$345,HLOOKUP(INDIRECT(ADDRESS(2,COLUMN())),OFFSET($BN$2,0,0,ROW()-1,60),ROW()-1,FALSE))</f>
        <v/>
      </c>
      <c r="AX150" t="str">
        <f ca="1">IF(AND(ISNUMBER($AX$345),$B$185=1),$AX$345,HLOOKUP(INDIRECT(ADDRESS(2,COLUMN())),OFFSET($BN$2,0,0,ROW()-1,60),ROW()-1,FALSE))</f>
        <v/>
      </c>
      <c r="AY150" t="str">
        <f ca="1">IF(AND(ISNUMBER($AY$345),$B$185=1),$AY$345,HLOOKUP(INDIRECT(ADDRESS(2,COLUMN())),OFFSET($BN$2,0,0,ROW()-1,60),ROW()-1,FALSE))</f>
        <v/>
      </c>
      <c r="AZ150" t="str">
        <f ca="1">IF(AND(ISNUMBER($AZ$345),$B$185=1),$AZ$345,HLOOKUP(INDIRECT(ADDRESS(2,COLUMN())),OFFSET($BN$2,0,0,ROW()-1,60),ROW()-1,FALSE))</f>
        <v/>
      </c>
      <c r="BA150" t="str">
        <f ca="1">IF(AND(ISNUMBER($BA$345),$B$185=1),$BA$345,HLOOKUP(INDIRECT(ADDRESS(2,COLUMN())),OFFSET($BN$2,0,0,ROW()-1,60),ROW()-1,FALSE))</f>
        <v/>
      </c>
      <c r="BB150" t="str">
        <f ca="1">IF(AND(ISNUMBER($BB$345),$B$185=1),$BB$345,HLOOKUP(INDIRECT(ADDRESS(2,COLUMN())),OFFSET($BN$2,0,0,ROW()-1,60),ROW()-1,FALSE))</f>
        <v/>
      </c>
      <c r="BC150" t="str">
        <f ca="1">IF(AND(ISNUMBER($BC$345),$B$185=1),$BC$345,HLOOKUP(INDIRECT(ADDRESS(2,COLUMN())),OFFSET($BN$2,0,0,ROW()-1,60),ROW()-1,FALSE))</f>
        <v/>
      </c>
      <c r="BD150" t="str">
        <f ca="1">IF(AND(ISNUMBER($BD$345),$B$185=1),$BD$345,HLOOKUP(INDIRECT(ADDRESS(2,COLUMN())),OFFSET($BN$2,0,0,ROW()-1,60),ROW()-1,FALSE))</f>
        <v/>
      </c>
      <c r="BE150" t="str">
        <f ca="1">IF(AND(ISNUMBER($BE$345),$B$185=1),$BE$345,HLOOKUP(INDIRECT(ADDRESS(2,COLUMN())),OFFSET($BN$2,0,0,ROW()-1,60),ROW()-1,FALSE))</f>
        <v/>
      </c>
      <c r="BF150" t="str">
        <f ca="1">IF(AND(ISNUMBER($BF$345),$B$185=1),$BF$345,HLOOKUP(INDIRECT(ADDRESS(2,COLUMN())),OFFSET($BN$2,0,0,ROW()-1,60),ROW()-1,FALSE))</f>
        <v/>
      </c>
      <c r="BG150" t="str">
        <f ca="1">IF(AND(ISNUMBER($BG$345),$B$185=1),$BG$345,HLOOKUP(INDIRECT(ADDRESS(2,COLUMN())),OFFSET($BN$2,0,0,ROW()-1,60),ROW()-1,FALSE))</f>
        <v/>
      </c>
      <c r="BH150" t="str">
        <f ca="1">IF(AND(ISNUMBER($BH$345),$B$185=1),$BH$345,HLOOKUP(INDIRECT(ADDRESS(2,COLUMN())),OFFSET($BN$2,0,0,ROW()-1,60),ROW()-1,FALSE))</f>
        <v/>
      </c>
      <c r="BI150" t="str">
        <f ca="1">IF(AND(ISNUMBER($BI$345),$B$185=1),$BI$345,HLOOKUP(INDIRECT(ADDRESS(2,COLUMN())),OFFSET($BN$2,0,0,ROW()-1,60),ROW()-1,FALSE))</f>
        <v/>
      </c>
      <c r="BJ150" t="str">
        <f ca="1">IF(AND(ISNUMBER($BJ$345),$B$185=1),$BJ$345,HLOOKUP(INDIRECT(ADDRESS(2,COLUMN())),OFFSET($BN$2,0,0,ROW()-1,60),ROW()-1,FALSE))</f>
        <v/>
      </c>
      <c r="BK150" t="str">
        <f ca="1">IF(AND(ISNUMBER($BK$345),$B$185=1),$BK$345,HLOOKUP(INDIRECT(ADDRESS(2,COLUMN())),OFFSET($BN$2,0,0,ROW()-1,60),ROW()-1,FALSE))</f>
        <v/>
      </c>
      <c r="BL150" t="str">
        <f ca="1">IF(AND(ISNUMBER($BL$345),$B$185=1),$BL$345,HLOOKUP(INDIRECT(ADDRESS(2,COLUMN())),OFFSET($BN$2,0,0,ROW()-1,60),ROW()-1,FALSE))</f>
        <v/>
      </c>
      <c r="BM150" t="str">
        <f ca="1">IF(AND(ISNUMBER($BM$345),$B$185=1),$BM$345,HLOOKUP(INDIRECT(ADDRESS(2,COLUMN())),OFFSET($BN$2,0,0,ROW()-1,60),ROW()-1,FALSE))</f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>
      <c r="A151" t="str">
        <f>"    Comerica Inc"</f>
        <v xml:space="preserve">    Comerica Inc</v>
      </c>
      <c r="B151" t="str">
        <f>"CMA US Equity"</f>
        <v>CMA US Equity</v>
      </c>
      <c r="C151" t="str">
        <f t="shared" si="19"/>
        <v>BS963</v>
      </c>
      <c r="D151" t="str">
        <f t="shared" si="20"/>
        <v>BS_COMML_MTG_SERVICED_OTHERS</v>
      </c>
      <c r="E151" t="str">
        <f t="shared" si="21"/>
        <v>Dynamic</v>
      </c>
      <c r="F151" t="str">
        <f ca="1">IF(AND(ISNUMBER($F$346),$B$185=1),$F$346,HLOOKUP(INDIRECT(ADDRESS(2,COLUMN())),OFFSET($BN$2,0,0,ROW()-1,60),ROW()-1,FALSE))</f>
        <v/>
      </c>
      <c r="G151" t="str">
        <f ca="1">IF(AND(ISNUMBER($G$346),$B$185=1),$G$346,HLOOKUP(INDIRECT(ADDRESS(2,COLUMN())),OFFSET($BN$2,0,0,ROW()-1,60),ROW()-1,FALSE))</f>
        <v/>
      </c>
      <c r="H151" t="str">
        <f ca="1">IF(AND(ISNUMBER($H$346),$B$185=1),$H$346,HLOOKUP(INDIRECT(ADDRESS(2,COLUMN())),OFFSET($BN$2,0,0,ROW()-1,60),ROW()-1,FALSE))</f>
        <v/>
      </c>
      <c r="I151" t="str">
        <f ca="1">IF(AND(ISNUMBER($I$346),$B$185=1),$I$346,HLOOKUP(INDIRECT(ADDRESS(2,COLUMN())),OFFSET($BN$2,0,0,ROW()-1,60),ROW()-1,FALSE))</f>
        <v/>
      </c>
      <c r="J151" t="str">
        <f ca="1">IF(AND(ISNUMBER($J$346),$B$185=1),$J$346,HLOOKUP(INDIRECT(ADDRESS(2,COLUMN())),OFFSET($BN$2,0,0,ROW()-1,60),ROW()-1,FALSE))</f>
        <v/>
      </c>
      <c r="K151" t="str">
        <f ca="1">IF(AND(ISNUMBER($K$346),$B$185=1),$K$346,HLOOKUP(INDIRECT(ADDRESS(2,COLUMN())),OFFSET($BN$2,0,0,ROW()-1,60),ROW()-1,FALSE))</f>
        <v/>
      </c>
      <c r="L151" t="str">
        <f ca="1">IF(AND(ISNUMBER($L$346),$B$185=1),$L$346,HLOOKUP(INDIRECT(ADDRESS(2,COLUMN())),OFFSET($BN$2,0,0,ROW()-1,60),ROW()-1,FALSE))</f>
        <v/>
      </c>
      <c r="M151" t="str">
        <f ca="1">IF(AND(ISNUMBER($M$346),$B$185=1),$M$346,HLOOKUP(INDIRECT(ADDRESS(2,COLUMN())),OFFSET($BN$2,0,0,ROW()-1,60),ROW()-1,FALSE))</f>
        <v/>
      </c>
      <c r="N151" t="str">
        <f ca="1">IF(AND(ISNUMBER($N$346),$B$185=1),$N$346,HLOOKUP(INDIRECT(ADDRESS(2,COLUMN())),OFFSET($BN$2,0,0,ROW()-1,60),ROW()-1,FALSE))</f>
        <v/>
      </c>
      <c r="O151" t="str">
        <f ca="1">IF(AND(ISNUMBER($O$346),$B$185=1),$O$346,HLOOKUP(INDIRECT(ADDRESS(2,COLUMN())),OFFSET($BN$2,0,0,ROW()-1,60),ROW()-1,FALSE))</f>
        <v/>
      </c>
      <c r="P151" t="str">
        <f ca="1">IF(AND(ISNUMBER($P$346),$B$185=1),$P$346,HLOOKUP(INDIRECT(ADDRESS(2,COLUMN())),OFFSET($BN$2,0,0,ROW()-1,60),ROW()-1,FALSE))</f>
        <v/>
      </c>
      <c r="Q151" t="str">
        <f ca="1">IF(AND(ISNUMBER($Q$346),$B$185=1),$Q$346,HLOOKUP(INDIRECT(ADDRESS(2,COLUMN())),OFFSET($BN$2,0,0,ROW()-1,60),ROW()-1,FALSE))</f>
        <v/>
      </c>
      <c r="R151" t="str">
        <f ca="1">IF(AND(ISNUMBER($R$346),$B$185=1),$R$346,HLOOKUP(INDIRECT(ADDRESS(2,COLUMN())),OFFSET($BN$2,0,0,ROW()-1,60),ROW()-1,FALSE))</f>
        <v/>
      </c>
      <c r="S151" t="str">
        <f ca="1">IF(AND(ISNUMBER($S$346),$B$185=1),$S$346,HLOOKUP(INDIRECT(ADDRESS(2,COLUMN())),OFFSET($BN$2,0,0,ROW()-1,60),ROW()-1,FALSE))</f>
        <v/>
      </c>
      <c r="T151" t="str">
        <f ca="1">IF(AND(ISNUMBER($T$346),$B$185=1),$T$346,HLOOKUP(INDIRECT(ADDRESS(2,COLUMN())),OFFSET($BN$2,0,0,ROW()-1,60),ROW()-1,FALSE))</f>
        <v/>
      </c>
      <c r="U151" t="str">
        <f ca="1">IF(AND(ISNUMBER($U$346),$B$185=1),$U$346,HLOOKUP(INDIRECT(ADDRESS(2,COLUMN())),OFFSET($BN$2,0,0,ROW()-1,60),ROW()-1,FALSE))</f>
        <v/>
      </c>
      <c r="V151" t="str">
        <f ca="1">IF(AND(ISNUMBER($V$346),$B$185=1),$V$346,HLOOKUP(INDIRECT(ADDRESS(2,COLUMN())),OFFSET($BN$2,0,0,ROW()-1,60),ROW()-1,FALSE))</f>
        <v/>
      </c>
      <c r="W151" t="str">
        <f ca="1">IF(AND(ISNUMBER($W$346),$B$185=1),$W$346,HLOOKUP(INDIRECT(ADDRESS(2,COLUMN())),OFFSET($BN$2,0,0,ROW()-1,60),ROW()-1,FALSE))</f>
        <v/>
      </c>
      <c r="X151" t="str">
        <f ca="1">IF(AND(ISNUMBER($X$346),$B$185=1),$X$346,HLOOKUP(INDIRECT(ADDRESS(2,COLUMN())),OFFSET($BN$2,0,0,ROW()-1,60),ROW()-1,FALSE))</f>
        <v/>
      </c>
      <c r="Y151" t="str">
        <f ca="1">IF(AND(ISNUMBER($Y$346),$B$185=1),$Y$346,HLOOKUP(INDIRECT(ADDRESS(2,COLUMN())),OFFSET($BN$2,0,0,ROW()-1,60),ROW()-1,FALSE))</f>
        <v/>
      </c>
      <c r="Z151" t="str">
        <f ca="1">IF(AND(ISNUMBER($Z$346),$B$185=1),$Z$346,HLOOKUP(INDIRECT(ADDRESS(2,COLUMN())),OFFSET($BN$2,0,0,ROW()-1,60),ROW()-1,FALSE))</f>
        <v/>
      </c>
      <c r="AA151" t="str">
        <f ca="1">IF(AND(ISNUMBER($AA$346),$B$185=1),$AA$346,HLOOKUP(INDIRECT(ADDRESS(2,COLUMN())),OFFSET($BN$2,0,0,ROW()-1,60),ROW()-1,FALSE))</f>
        <v/>
      </c>
      <c r="AB151" t="str">
        <f ca="1">IF(AND(ISNUMBER($AB$346),$B$185=1),$AB$346,HLOOKUP(INDIRECT(ADDRESS(2,COLUMN())),OFFSET($BN$2,0,0,ROW()-1,60),ROW()-1,FALSE))</f>
        <v/>
      </c>
      <c r="AC151" t="str">
        <f ca="1">IF(AND(ISNUMBER($AC$346),$B$185=1),$AC$346,HLOOKUP(INDIRECT(ADDRESS(2,COLUMN())),OFFSET($BN$2,0,0,ROW()-1,60),ROW()-1,FALSE))</f>
        <v/>
      </c>
      <c r="AD151" t="str">
        <f ca="1">IF(AND(ISNUMBER($AD$346),$B$185=1),$AD$346,HLOOKUP(INDIRECT(ADDRESS(2,COLUMN())),OFFSET($BN$2,0,0,ROW()-1,60),ROW()-1,FALSE))</f>
        <v/>
      </c>
      <c r="AE151" t="str">
        <f ca="1">IF(AND(ISNUMBER($AE$346),$B$185=1),$AE$346,HLOOKUP(INDIRECT(ADDRESS(2,COLUMN())),OFFSET($BN$2,0,0,ROW()-1,60),ROW()-1,FALSE))</f>
        <v/>
      </c>
      <c r="AF151" t="str">
        <f ca="1">IF(AND(ISNUMBER($AF$346),$B$185=1),$AF$346,HLOOKUP(INDIRECT(ADDRESS(2,COLUMN())),OFFSET($BN$2,0,0,ROW()-1,60),ROW()-1,FALSE))</f>
        <v/>
      </c>
      <c r="AG151" t="str">
        <f ca="1">IF(AND(ISNUMBER($AG$346),$B$185=1),$AG$346,HLOOKUP(INDIRECT(ADDRESS(2,COLUMN())),OFFSET($BN$2,0,0,ROW()-1,60),ROW()-1,FALSE))</f>
        <v/>
      </c>
      <c r="AH151" t="str">
        <f ca="1">IF(AND(ISNUMBER($AH$346),$B$185=1),$AH$346,HLOOKUP(INDIRECT(ADDRESS(2,COLUMN())),OFFSET($BN$2,0,0,ROW()-1,60),ROW()-1,FALSE))</f>
        <v/>
      </c>
      <c r="AI151" t="str">
        <f ca="1">IF(AND(ISNUMBER($AI$346),$B$185=1),$AI$346,HLOOKUP(INDIRECT(ADDRESS(2,COLUMN())),OFFSET($BN$2,0,0,ROW()-1,60),ROW()-1,FALSE))</f>
        <v/>
      </c>
      <c r="AJ151" t="str">
        <f ca="1">IF(AND(ISNUMBER($AJ$346),$B$185=1),$AJ$346,HLOOKUP(INDIRECT(ADDRESS(2,COLUMN())),OFFSET($BN$2,0,0,ROW()-1,60),ROW()-1,FALSE))</f>
        <v/>
      </c>
      <c r="AK151" t="str">
        <f ca="1">IF(AND(ISNUMBER($AK$346),$B$185=1),$AK$346,HLOOKUP(INDIRECT(ADDRESS(2,COLUMN())),OFFSET($BN$2,0,0,ROW()-1,60),ROW()-1,FALSE))</f>
        <v/>
      </c>
      <c r="AL151" t="str">
        <f ca="1">IF(AND(ISNUMBER($AL$346),$B$185=1),$AL$346,HLOOKUP(INDIRECT(ADDRESS(2,COLUMN())),OFFSET($BN$2,0,0,ROW()-1,60),ROW()-1,FALSE))</f>
        <v/>
      </c>
      <c r="AM151" t="str">
        <f ca="1">IF(AND(ISNUMBER($AM$346),$B$185=1),$AM$346,HLOOKUP(INDIRECT(ADDRESS(2,COLUMN())),OFFSET($BN$2,0,0,ROW()-1,60),ROW()-1,FALSE))</f>
        <v/>
      </c>
      <c r="AN151" t="str">
        <f ca="1">IF(AND(ISNUMBER($AN$346),$B$185=1),$AN$346,HLOOKUP(INDIRECT(ADDRESS(2,COLUMN())),OFFSET($BN$2,0,0,ROW()-1,60),ROW()-1,FALSE))</f>
        <v/>
      </c>
      <c r="AO151" t="str">
        <f ca="1">IF(AND(ISNUMBER($AO$346),$B$185=1),$AO$346,HLOOKUP(INDIRECT(ADDRESS(2,COLUMN())),OFFSET($BN$2,0,0,ROW()-1,60),ROW()-1,FALSE))</f>
        <v/>
      </c>
      <c r="AP151" t="str">
        <f ca="1">IF(AND(ISNUMBER($AP$346),$B$185=1),$AP$346,HLOOKUP(INDIRECT(ADDRESS(2,COLUMN())),OFFSET($BN$2,0,0,ROW()-1,60),ROW()-1,FALSE))</f>
        <v/>
      </c>
      <c r="AQ151" t="str">
        <f ca="1">IF(AND(ISNUMBER($AQ$346),$B$185=1),$AQ$346,HLOOKUP(INDIRECT(ADDRESS(2,COLUMN())),OFFSET($BN$2,0,0,ROW()-1,60),ROW()-1,FALSE))</f>
        <v/>
      </c>
      <c r="AR151" t="str">
        <f ca="1">IF(AND(ISNUMBER($AR$346),$B$185=1),$AR$346,HLOOKUP(INDIRECT(ADDRESS(2,COLUMN())),OFFSET($BN$2,0,0,ROW()-1,60),ROW()-1,FALSE))</f>
        <v/>
      </c>
      <c r="AS151" t="str">
        <f ca="1">IF(AND(ISNUMBER($AS$346),$B$185=1),$AS$346,HLOOKUP(INDIRECT(ADDRESS(2,COLUMN())),OFFSET($BN$2,0,0,ROW()-1,60),ROW()-1,FALSE))</f>
        <v/>
      </c>
      <c r="AT151" t="str">
        <f ca="1">IF(AND(ISNUMBER($AT$346),$B$185=1),$AT$346,HLOOKUP(INDIRECT(ADDRESS(2,COLUMN())),OFFSET($BN$2,0,0,ROW()-1,60),ROW()-1,FALSE))</f>
        <v/>
      </c>
      <c r="AU151" t="str">
        <f ca="1">IF(AND(ISNUMBER($AU$346),$B$185=1),$AU$346,HLOOKUP(INDIRECT(ADDRESS(2,COLUMN())),OFFSET($BN$2,0,0,ROW()-1,60),ROW()-1,FALSE))</f>
        <v/>
      </c>
      <c r="AV151" t="str">
        <f ca="1">IF(AND(ISNUMBER($AV$346),$B$185=1),$AV$346,HLOOKUP(INDIRECT(ADDRESS(2,COLUMN())),OFFSET($BN$2,0,0,ROW()-1,60),ROW()-1,FALSE))</f>
        <v/>
      </c>
      <c r="AW151" t="str">
        <f ca="1">IF(AND(ISNUMBER($AW$346),$B$185=1),$AW$346,HLOOKUP(INDIRECT(ADDRESS(2,COLUMN())),OFFSET($BN$2,0,0,ROW()-1,60),ROW()-1,FALSE))</f>
        <v/>
      </c>
      <c r="AX151" t="str">
        <f ca="1">IF(AND(ISNUMBER($AX$346),$B$185=1),$AX$346,HLOOKUP(INDIRECT(ADDRESS(2,COLUMN())),OFFSET($BN$2,0,0,ROW()-1,60),ROW()-1,FALSE))</f>
        <v/>
      </c>
      <c r="AY151" t="str">
        <f ca="1">IF(AND(ISNUMBER($AY$346),$B$185=1),$AY$346,HLOOKUP(INDIRECT(ADDRESS(2,COLUMN())),OFFSET($BN$2,0,0,ROW()-1,60),ROW()-1,FALSE))</f>
        <v/>
      </c>
      <c r="AZ151" t="str">
        <f ca="1">IF(AND(ISNUMBER($AZ$346),$B$185=1),$AZ$346,HLOOKUP(INDIRECT(ADDRESS(2,COLUMN())),OFFSET($BN$2,0,0,ROW()-1,60),ROW()-1,FALSE))</f>
        <v/>
      </c>
      <c r="BA151" t="str">
        <f ca="1">IF(AND(ISNUMBER($BA$346),$B$185=1),$BA$346,HLOOKUP(INDIRECT(ADDRESS(2,COLUMN())),OFFSET($BN$2,0,0,ROW()-1,60),ROW()-1,FALSE))</f>
        <v/>
      </c>
      <c r="BB151" t="str">
        <f ca="1">IF(AND(ISNUMBER($BB$346),$B$185=1),$BB$346,HLOOKUP(INDIRECT(ADDRESS(2,COLUMN())),OFFSET($BN$2,0,0,ROW()-1,60),ROW()-1,FALSE))</f>
        <v/>
      </c>
      <c r="BC151" t="str">
        <f ca="1">IF(AND(ISNUMBER($BC$346),$B$185=1),$BC$346,HLOOKUP(INDIRECT(ADDRESS(2,COLUMN())),OFFSET($BN$2,0,0,ROW()-1,60),ROW()-1,FALSE))</f>
        <v/>
      </c>
      <c r="BD151" t="str">
        <f ca="1">IF(AND(ISNUMBER($BD$346),$B$185=1),$BD$346,HLOOKUP(INDIRECT(ADDRESS(2,COLUMN())),OFFSET($BN$2,0,0,ROW()-1,60),ROW()-1,FALSE))</f>
        <v/>
      </c>
      <c r="BE151" t="str">
        <f ca="1">IF(AND(ISNUMBER($BE$346),$B$185=1),$BE$346,HLOOKUP(INDIRECT(ADDRESS(2,COLUMN())),OFFSET($BN$2,0,0,ROW()-1,60),ROW()-1,FALSE))</f>
        <v/>
      </c>
      <c r="BF151" t="str">
        <f ca="1">IF(AND(ISNUMBER($BF$346),$B$185=1),$BF$346,HLOOKUP(INDIRECT(ADDRESS(2,COLUMN())),OFFSET($BN$2,0,0,ROW()-1,60),ROW()-1,FALSE))</f>
        <v/>
      </c>
      <c r="BG151" t="str">
        <f ca="1">IF(AND(ISNUMBER($BG$346),$B$185=1),$BG$346,HLOOKUP(INDIRECT(ADDRESS(2,COLUMN())),OFFSET($BN$2,0,0,ROW()-1,60),ROW()-1,FALSE))</f>
        <v/>
      </c>
      <c r="BH151" t="str">
        <f ca="1">IF(AND(ISNUMBER($BH$346),$B$185=1),$BH$346,HLOOKUP(INDIRECT(ADDRESS(2,COLUMN())),OFFSET($BN$2,0,0,ROW()-1,60),ROW()-1,FALSE))</f>
        <v/>
      </c>
      <c r="BI151" t="str">
        <f ca="1">IF(AND(ISNUMBER($BI$346),$B$185=1),$BI$346,HLOOKUP(INDIRECT(ADDRESS(2,COLUMN())),OFFSET($BN$2,0,0,ROW()-1,60),ROW()-1,FALSE))</f>
        <v/>
      </c>
      <c r="BJ151" t="str">
        <f ca="1">IF(AND(ISNUMBER($BJ$346),$B$185=1),$BJ$346,HLOOKUP(INDIRECT(ADDRESS(2,COLUMN())),OFFSET($BN$2,0,0,ROW()-1,60),ROW()-1,FALSE))</f>
        <v/>
      </c>
      <c r="BK151" t="str">
        <f ca="1">IF(AND(ISNUMBER($BK$346),$B$185=1),$BK$346,HLOOKUP(INDIRECT(ADDRESS(2,COLUMN())),OFFSET($BN$2,0,0,ROW()-1,60),ROW()-1,FALSE))</f>
        <v/>
      </c>
      <c r="BL151" t="str">
        <f ca="1">IF(AND(ISNUMBER($BL$346),$B$185=1),$BL$346,HLOOKUP(INDIRECT(ADDRESS(2,COLUMN())),OFFSET($BN$2,0,0,ROW()-1,60),ROW()-1,FALSE))</f>
        <v/>
      </c>
      <c r="BM151" t="str">
        <f ca="1">IF(AND(ISNUMBER($BM$346),$B$185=1),$BM$346,HLOOKUP(INDIRECT(ADDRESS(2,COLUMN())),OFFSET($BN$2,0,0,ROW()-1,60),ROW()-1,FALSE))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>
      <c r="A152" t="str">
        <f>"    East West Bancorp Inc"</f>
        <v xml:space="preserve">    East West Bancorp Inc</v>
      </c>
      <c r="B152" t="str">
        <f>"EWBC US Equity"</f>
        <v>EWBC US Equity</v>
      </c>
      <c r="C152" t="str">
        <f t="shared" si="19"/>
        <v>BS963</v>
      </c>
      <c r="D152" t="str">
        <f t="shared" si="20"/>
        <v>BS_COMML_MTG_SERVICED_OTHERS</v>
      </c>
      <c r="E152" t="str">
        <f t="shared" si="21"/>
        <v>Dynamic</v>
      </c>
      <c r="F152" t="str">
        <f ca="1">IF(AND(ISNUMBER($F$347),$B$185=1),$F$347,HLOOKUP(INDIRECT(ADDRESS(2,COLUMN())),OFFSET($BN$2,0,0,ROW()-1,60),ROW()-1,FALSE))</f>
        <v/>
      </c>
      <c r="G152" t="str">
        <f ca="1">IF(AND(ISNUMBER($G$347),$B$185=1),$G$347,HLOOKUP(INDIRECT(ADDRESS(2,COLUMN())),OFFSET($BN$2,0,0,ROW()-1,60),ROW()-1,FALSE))</f>
        <v/>
      </c>
      <c r="H152" t="str">
        <f ca="1">IF(AND(ISNUMBER($H$347),$B$185=1),$H$347,HLOOKUP(INDIRECT(ADDRESS(2,COLUMN())),OFFSET($BN$2,0,0,ROW()-1,60),ROW()-1,FALSE))</f>
        <v/>
      </c>
      <c r="I152" t="str">
        <f ca="1">IF(AND(ISNUMBER($I$347),$B$185=1),$I$347,HLOOKUP(INDIRECT(ADDRESS(2,COLUMN())),OFFSET($BN$2,0,0,ROW()-1,60),ROW()-1,FALSE))</f>
        <v/>
      </c>
      <c r="J152" t="str">
        <f ca="1">IF(AND(ISNUMBER($J$347),$B$185=1),$J$347,HLOOKUP(INDIRECT(ADDRESS(2,COLUMN())),OFFSET($BN$2,0,0,ROW()-1,60),ROW()-1,FALSE))</f>
        <v/>
      </c>
      <c r="K152" t="str">
        <f ca="1">IF(AND(ISNUMBER($K$347),$B$185=1),$K$347,HLOOKUP(INDIRECT(ADDRESS(2,COLUMN())),OFFSET($BN$2,0,0,ROW()-1,60),ROW()-1,FALSE))</f>
        <v/>
      </c>
      <c r="L152" t="str">
        <f ca="1">IF(AND(ISNUMBER($L$347),$B$185=1),$L$347,HLOOKUP(INDIRECT(ADDRESS(2,COLUMN())),OFFSET($BN$2,0,0,ROW()-1,60),ROW()-1,FALSE))</f>
        <v/>
      </c>
      <c r="M152" t="str">
        <f ca="1">IF(AND(ISNUMBER($M$347),$B$185=1),$M$347,HLOOKUP(INDIRECT(ADDRESS(2,COLUMN())),OFFSET($BN$2,0,0,ROW()-1,60),ROW()-1,FALSE))</f>
        <v/>
      </c>
      <c r="N152" t="str">
        <f ca="1">IF(AND(ISNUMBER($N$347),$B$185=1),$N$347,HLOOKUP(INDIRECT(ADDRESS(2,COLUMN())),OFFSET($BN$2,0,0,ROW()-1,60),ROW()-1,FALSE))</f>
        <v/>
      </c>
      <c r="O152" t="str">
        <f ca="1">IF(AND(ISNUMBER($O$347),$B$185=1),$O$347,HLOOKUP(INDIRECT(ADDRESS(2,COLUMN())),OFFSET($BN$2,0,0,ROW()-1,60),ROW()-1,FALSE))</f>
        <v/>
      </c>
      <c r="P152" t="str">
        <f ca="1">IF(AND(ISNUMBER($P$347),$B$185=1),$P$347,HLOOKUP(INDIRECT(ADDRESS(2,COLUMN())),OFFSET($BN$2,0,0,ROW()-1,60),ROW()-1,FALSE))</f>
        <v/>
      </c>
      <c r="Q152" t="str">
        <f ca="1">IF(AND(ISNUMBER($Q$347),$B$185=1),$Q$347,HLOOKUP(INDIRECT(ADDRESS(2,COLUMN())),OFFSET($BN$2,0,0,ROW()-1,60),ROW()-1,FALSE))</f>
        <v/>
      </c>
      <c r="R152" t="str">
        <f ca="1">IF(AND(ISNUMBER($R$347),$B$185=1),$R$347,HLOOKUP(INDIRECT(ADDRESS(2,COLUMN())),OFFSET($BN$2,0,0,ROW()-1,60),ROW()-1,FALSE))</f>
        <v/>
      </c>
      <c r="S152" t="str">
        <f ca="1">IF(AND(ISNUMBER($S$347),$B$185=1),$S$347,HLOOKUP(INDIRECT(ADDRESS(2,COLUMN())),OFFSET($BN$2,0,0,ROW()-1,60),ROW()-1,FALSE))</f>
        <v/>
      </c>
      <c r="T152" t="str">
        <f ca="1">IF(AND(ISNUMBER($T$347),$B$185=1),$T$347,HLOOKUP(INDIRECT(ADDRESS(2,COLUMN())),OFFSET($BN$2,0,0,ROW()-1,60),ROW()-1,FALSE))</f>
        <v/>
      </c>
      <c r="U152" t="str">
        <f ca="1">IF(AND(ISNUMBER($U$347),$B$185=1),$U$347,HLOOKUP(INDIRECT(ADDRESS(2,COLUMN())),OFFSET($BN$2,0,0,ROW()-1,60),ROW()-1,FALSE))</f>
        <v/>
      </c>
      <c r="V152" t="str">
        <f ca="1">IF(AND(ISNUMBER($V$347),$B$185=1),$V$347,HLOOKUP(INDIRECT(ADDRESS(2,COLUMN())),OFFSET($BN$2,0,0,ROW()-1,60),ROW()-1,FALSE))</f>
        <v/>
      </c>
      <c r="W152" t="str">
        <f ca="1">IF(AND(ISNUMBER($W$347),$B$185=1),$W$347,HLOOKUP(INDIRECT(ADDRESS(2,COLUMN())),OFFSET($BN$2,0,0,ROW()-1,60),ROW()-1,FALSE))</f>
        <v/>
      </c>
      <c r="X152" t="str">
        <f ca="1">IF(AND(ISNUMBER($X$347),$B$185=1),$X$347,HLOOKUP(INDIRECT(ADDRESS(2,COLUMN())),OFFSET($BN$2,0,0,ROW()-1,60),ROW()-1,FALSE))</f>
        <v/>
      </c>
      <c r="Y152" t="str">
        <f ca="1">IF(AND(ISNUMBER($Y$347),$B$185=1),$Y$347,HLOOKUP(INDIRECT(ADDRESS(2,COLUMN())),OFFSET($BN$2,0,0,ROW()-1,60),ROW()-1,FALSE))</f>
        <v/>
      </c>
      <c r="Z152" t="str">
        <f ca="1">IF(AND(ISNUMBER($Z$347),$B$185=1),$Z$347,HLOOKUP(INDIRECT(ADDRESS(2,COLUMN())),OFFSET($BN$2,0,0,ROW()-1,60),ROW()-1,FALSE))</f>
        <v/>
      </c>
      <c r="AA152" t="str">
        <f ca="1">IF(AND(ISNUMBER($AA$347),$B$185=1),$AA$347,HLOOKUP(INDIRECT(ADDRESS(2,COLUMN())),OFFSET($BN$2,0,0,ROW()-1,60),ROW()-1,FALSE))</f>
        <v/>
      </c>
      <c r="AB152" t="str">
        <f ca="1">IF(AND(ISNUMBER($AB$347),$B$185=1),$AB$347,HLOOKUP(INDIRECT(ADDRESS(2,COLUMN())),OFFSET($BN$2,0,0,ROW()-1,60),ROW()-1,FALSE))</f>
        <v/>
      </c>
      <c r="AC152" t="str">
        <f ca="1">IF(AND(ISNUMBER($AC$347),$B$185=1),$AC$347,HLOOKUP(INDIRECT(ADDRESS(2,COLUMN())),OFFSET($BN$2,0,0,ROW()-1,60),ROW()-1,FALSE))</f>
        <v/>
      </c>
      <c r="AD152" t="str">
        <f ca="1">IF(AND(ISNUMBER($AD$347),$B$185=1),$AD$347,HLOOKUP(INDIRECT(ADDRESS(2,COLUMN())),OFFSET($BN$2,0,0,ROW()-1,60),ROW()-1,FALSE))</f>
        <v/>
      </c>
      <c r="AE152" t="str">
        <f ca="1">IF(AND(ISNUMBER($AE$347),$B$185=1),$AE$347,HLOOKUP(INDIRECT(ADDRESS(2,COLUMN())),OFFSET($BN$2,0,0,ROW()-1,60),ROW()-1,FALSE))</f>
        <v/>
      </c>
      <c r="AF152" t="str">
        <f ca="1">IF(AND(ISNUMBER($AF$347),$B$185=1),$AF$347,HLOOKUP(INDIRECT(ADDRESS(2,COLUMN())),OFFSET($BN$2,0,0,ROW()-1,60),ROW()-1,FALSE))</f>
        <v/>
      </c>
      <c r="AG152" t="str">
        <f ca="1">IF(AND(ISNUMBER($AG$347),$B$185=1),$AG$347,HLOOKUP(INDIRECT(ADDRESS(2,COLUMN())),OFFSET($BN$2,0,0,ROW()-1,60),ROW()-1,FALSE))</f>
        <v/>
      </c>
      <c r="AH152" t="str">
        <f ca="1">IF(AND(ISNUMBER($AH$347),$B$185=1),$AH$347,HLOOKUP(INDIRECT(ADDRESS(2,COLUMN())),OFFSET($BN$2,0,0,ROW()-1,60),ROW()-1,FALSE))</f>
        <v/>
      </c>
      <c r="AI152" t="str">
        <f ca="1">IF(AND(ISNUMBER($AI$347),$B$185=1),$AI$347,HLOOKUP(INDIRECT(ADDRESS(2,COLUMN())),OFFSET($BN$2,0,0,ROW()-1,60),ROW()-1,FALSE))</f>
        <v/>
      </c>
      <c r="AJ152" t="str">
        <f ca="1">IF(AND(ISNUMBER($AJ$347),$B$185=1),$AJ$347,HLOOKUP(INDIRECT(ADDRESS(2,COLUMN())),OFFSET($BN$2,0,0,ROW()-1,60),ROW()-1,FALSE))</f>
        <v/>
      </c>
      <c r="AK152" t="str">
        <f ca="1">IF(AND(ISNUMBER($AK$347),$B$185=1),$AK$347,HLOOKUP(INDIRECT(ADDRESS(2,COLUMN())),OFFSET($BN$2,0,0,ROW()-1,60),ROW()-1,FALSE))</f>
        <v/>
      </c>
      <c r="AL152" t="str">
        <f ca="1">IF(AND(ISNUMBER($AL$347),$B$185=1),$AL$347,HLOOKUP(INDIRECT(ADDRESS(2,COLUMN())),OFFSET($BN$2,0,0,ROW()-1,60),ROW()-1,FALSE))</f>
        <v/>
      </c>
      <c r="AM152" t="str">
        <f ca="1">IF(AND(ISNUMBER($AM$347),$B$185=1),$AM$347,HLOOKUP(INDIRECT(ADDRESS(2,COLUMN())),OFFSET($BN$2,0,0,ROW()-1,60),ROW()-1,FALSE))</f>
        <v/>
      </c>
      <c r="AN152" t="str">
        <f ca="1">IF(AND(ISNUMBER($AN$347),$B$185=1),$AN$347,HLOOKUP(INDIRECT(ADDRESS(2,COLUMN())),OFFSET($BN$2,0,0,ROW()-1,60),ROW()-1,FALSE))</f>
        <v/>
      </c>
      <c r="AO152" t="str">
        <f ca="1">IF(AND(ISNUMBER($AO$347),$B$185=1),$AO$347,HLOOKUP(INDIRECT(ADDRESS(2,COLUMN())),OFFSET($BN$2,0,0,ROW()-1,60),ROW()-1,FALSE))</f>
        <v/>
      </c>
      <c r="AP152" t="str">
        <f ca="1">IF(AND(ISNUMBER($AP$347),$B$185=1),$AP$347,HLOOKUP(INDIRECT(ADDRESS(2,COLUMN())),OFFSET($BN$2,0,0,ROW()-1,60),ROW()-1,FALSE))</f>
        <v/>
      </c>
      <c r="AQ152" t="str">
        <f ca="1">IF(AND(ISNUMBER($AQ$347),$B$185=1),$AQ$347,HLOOKUP(INDIRECT(ADDRESS(2,COLUMN())),OFFSET($BN$2,0,0,ROW()-1,60),ROW()-1,FALSE))</f>
        <v/>
      </c>
      <c r="AR152" t="str">
        <f ca="1">IF(AND(ISNUMBER($AR$347),$B$185=1),$AR$347,HLOOKUP(INDIRECT(ADDRESS(2,COLUMN())),OFFSET($BN$2,0,0,ROW()-1,60),ROW()-1,FALSE))</f>
        <v/>
      </c>
      <c r="AS152" t="str">
        <f ca="1">IF(AND(ISNUMBER($AS$347),$B$185=1),$AS$347,HLOOKUP(INDIRECT(ADDRESS(2,COLUMN())),OFFSET($BN$2,0,0,ROW()-1,60),ROW()-1,FALSE))</f>
        <v/>
      </c>
      <c r="AT152" t="str">
        <f ca="1">IF(AND(ISNUMBER($AT$347),$B$185=1),$AT$347,HLOOKUP(INDIRECT(ADDRESS(2,COLUMN())),OFFSET($BN$2,0,0,ROW()-1,60),ROW()-1,FALSE))</f>
        <v/>
      </c>
      <c r="AU152" t="str">
        <f ca="1">IF(AND(ISNUMBER($AU$347),$B$185=1),$AU$347,HLOOKUP(INDIRECT(ADDRESS(2,COLUMN())),OFFSET($BN$2,0,0,ROW()-1,60),ROW()-1,FALSE))</f>
        <v/>
      </c>
      <c r="AV152" t="str">
        <f ca="1">IF(AND(ISNUMBER($AV$347),$B$185=1),$AV$347,HLOOKUP(INDIRECT(ADDRESS(2,COLUMN())),OFFSET($BN$2,0,0,ROW()-1,60),ROW()-1,FALSE))</f>
        <v/>
      </c>
      <c r="AW152" t="str">
        <f ca="1">IF(AND(ISNUMBER($AW$347),$B$185=1),$AW$347,HLOOKUP(INDIRECT(ADDRESS(2,COLUMN())),OFFSET($BN$2,0,0,ROW()-1,60),ROW()-1,FALSE))</f>
        <v/>
      </c>
      <c r="AX152" t="str">
        <f ca="1">IF(AND(ISNUMBER($AX$347),$B$185=1),$AX$347,HLOOKUP(INDIRECT(ADDRESS(2,COLUMN())),OFFSET($BN$2,0,0,ROW()-1,60),ROW()-1,FALSE))</f>
        <v/>
      </c>
      <c r="AY152" t="str">
        <f ca="1">IF(AND(ISNUMBER($AY$347),$B$185=1),$AY$347,HLOOKUP(INDIRECT(ADDRESS(2,COLUMN())),OFFSET($BN$2,0,0,ROW()-1,60),ROW()-1,FALSE))</f>
        <v/>
      </c>
      <c r="AZ152" t="str">
        <f ca="1">IF(AND(ISNUMBER($AZ$347),$B$185=1),$AZ$347,HLOOKUP(INDIRECT(ADDRESS(2,COLUMN())),OFFSET($BN$2,0,0,ROW()-1,60),ROW()-1,FALSE))</f>
        <v/>
      </c>
      <c r="BA152" t="str">
        <f ca="1">IF(AND(ISNUMBER($BA$347),$B$185=1),$BA$347,HLOOKUP(INDIRECT(ADDRESS(2,COLUMN())),OFFSET($BN$2,0,0,ROW()-1,60),ROW()-1,FALSE))</f>
        <v/>
      </c>
      <c r="BB152" t="str">
        <f ca="1">IF(AND(ISNUMBER($BB$347),$B$185=1),$BB$347,HLOOKUP(INDIRECT(ADDRESS(2,COLUMN())),OFFSET($BN$2,0,0,ROW()-1,60),ROW()-1,FALSE))</f>
        <v/>
      </c>
      <c r="BC152" t="str">
        <f ca="1">IF(AND(ISNUMBER($BC$347),$B$185=1),$BC$347,HLOOKUP(INDIRECT(ADDRESS(2,COLUMN())),OFFSET($BN$2,0,0,ROW()-1,60),ROW()-1,FALSE))</f>
        <v/>
      </c>
      <c r="BD152" t="str">
        <f ca="1">IF(AND(ISNUMBER($BD$347),$B$185=1),$BD$347,HLOOKUP(INDIRECT(ADDRESS(2,COLUMN())),OFFSET($BN$2,0,0,ROW()-1,60),ROW()-1,FALSE))</f>
        <v/>
      </c>
      <c r="BE152" t="str">
        <f ca="1">IF(AND(ISNUMBER($BE$347),$B$185=1),$BE$347,HLOOKUP(INDIRECT(ADDRESS(2,COLUMN())),OFFSET($BN$2,0,0,ROW()-1,60),ROW()-1,FALSE))</f>
        <v/>
      </c>
      <c r="BF152" t="str">
        <f ca="1">IF(AND(ISNUMBER($BF$347),$B$185=1),$BF$347,HLOOKUP(INDIRECT(ADDRESS(2,COLUMN())),OFFSET($BN$2,0,0,ROW()-1,60),ROW()-1,FALSE))</f>
        <v/>
      </c>
      <c r="BG152" t="str">
        <f ca="1">IF(AND(ISNUMBER($BG$347),$B$185=1),$BG$347,HLOOKUP(INDIRECT(ADDRESS(2,COLUMN())),OFFSET($BN$2,0,0,ROW()-1,60),ROW()-1,FALSE))</f>
        <v/>
      </c>
      <c r="BH152" t="str">
        <f ca="1">IF(AND(ISNUMBER($BH$347),$B$185=1),$BH$347,HLOOKUP(INDIRECT(ADDRESS(2,COLUMN())),OFFSET($BN$2,0,0,ROW()-1,60),ROW()-1,FALSE))</f>
        <v/>
      </c>
      <c r="BI152" t="str">
        <f ca="1">IF(AND(ISNUMBER($BI$347),$B$185=1),$BI$347,HLOOKUP(INDIRECT(ADDRESS(2,COLUMN())),OFFSET($BN$2,0,0,ROW()-1,60),ROW()-1,FALSE))</f>
        <v/>
      </c>
      <c r="BJ152" t="str">
        <f ca="1">IF(AND(ISNUMBER($BJ$347),$B$185=1),$BJ$347,HLOOKUP(INDIRECT(ADDRESS(2,COLUMN())),OFFSET($BN$2,0,0,ROW()-1,60),ROW()-1,FALSE))</f>
        <v/>
      </c>
      <c r="BK152" t="str">
        <f ca="1">IF(AND(ISNUMBER($BK$347),$B$185=1),$BK$347,HLOOKUP(INDIRECT(ADDRESS(2,COLUMN())),OFFSET($BN$2,0,0,ROW()-1,60),ROW()-1,FALSE))</f>
        <v/>
      </c>
      <c r="BL152" t="str">
        <f ca="1">IF(AND(ISNUMBER($BL$347),$B$185=1),$BL$347,HLOOKUP(INDIRECT(ADDRESS(2,COLUMN())),OFFSET($BN$2,0,0,ROW()-1,60),ROW()-1,FALSE))</f>
        <v/>
      </c>
      <c r="BM152" t="str">
        <f ca="1">IF(AND(ISNUMBER($BM$347),$B$185=1),$BM$347,HLOOKUP(INDIRECT(ADDRESS(2,COLUMN())),OFFSET($BN$2,0,0,ROW()-1,60),ROW()-1,FALSE))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  <c r="BT152" t="str">
        <f>""</f>
        <v/>
      </c>
      <c r="BU152" t="str">
        <f>""</f>
        <v/>
      </c>
      <c r="BV152" t="str">
        <f>""</f>
        <v/>
      </c>
      <c r="BW152" t="str">
        <f>""</f>
        <v/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  <c r="CI152" t="str">
        <f>""</f>
        <v/>
      </c>
      <c r="CJ152" t="str">
        <f>""</f>
        <v/>
      </c>
      <c r="CK152" t="str">
        <f>""</f>
        <v/>
      </c>
      <c r="CL152" t="str">
        <f>""</f>
        <v/>
      </c>
      <c r="CM152" t="str">
        <f>""</f>
        <v/>
      </c>
      <c r="CN152" t="str">
        <f>""</f>
        <v/>
      </c>
      <c r="CO152" t="str">
        <f>""</f>
        <v/>
      </c>
      <c r="CP152" t="str">
        <f>""</f>
        <v/>
      </c>
      <c r="CQ152" t="str">
        <f>""</f>
        <v/>
      </c>
      <c r="CR152" t="str">
        <f>""</f>
        <v/>
      </c>
      <c r="CS152" t="str">
        <f>""</f>
        <v/>
      </c>
      <c r="CT152" t="str">
        <f>""</f>
        <v/>
      </c>
      <c r="CU152" t="str">
        <f>""</f>
        <v/>
      </c>
      <c r="CV152" t="str">
        <f>""</f>
        <v/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>
      <c r="A153" t="str">
        <f>"    First Horizon Corp"</f>
        <v xml:space="preserve">    First Horizon Corp</v>
      </c>
      <c r="B153" t="str">
        <f>"FHN US Equity"</f>
        <v>FHN US Equity</v>
      </c>
      <c r="C153" t="str">
        <f t="shared" si="19"/>
        <v>BS963</v>
      </c>
      <c r="D153" t="str">
        <f t="shared" si="20"/>
        <v>BS_COMML_MTG_SERVICED_OTHERS</v>
      </c>
      <c r="E153" t="str">
        <f t="shared" si="21"/>
        <v>Dynamic</v>
      </c>
      <c r="F153" t="str">
        <f ca="1">IF(AND(ISNUMBER($F$348),$B$185=1),$F$348,HLOOKUP(INDIRECT(ADDRESS(2,COLUMN())),OFFSET($BN$2,0,0,ROW()-1,60),ROW()-1,FALSE))</f>
        <v/>
      </c>
      <c r="G153" t="str">
        <f ca="1">IF(AND(ISNUMBER($G$348),$B$185=1),$G$348,HLOOKUP(INDIRECT(ADDRESS(2,COLUMN())),OFFSET($BN$2,0,0,ROW()-1,60),ROW()-1,FALSE))</f>
        <v/>
      </c>
      <c r="H153" t="str">
        <f ca="1">IF(AND(ISNUMBER($H$348),$B$185=1),$H$348,HLOOKUP(INDIRECT(ADDRESS(2,COLUMN())),OFFSET($BN$2,0,0,ROW()-1,60),ROW()-1,FALSE))</f>
        <v/>
      </c>
      <c r="I153" t="str">
        <f ca="1">IF(AND(ISNUMBER($I$348),$B$185=1),$I$348,HLOOKUP(INDIRECT(ADDRESS(2,COLUMN())),OFFSET($BN$2,0,0,ROW()-1,60),ROW()-1,FALSE))</f>
        <v/>
      </c>
      <c r="J153" t="str">
        <f ca="1">IF(AND(ISNUMBER($J$348),$B$185=1),$J$348,HLOOKUP(INDIRECT(ADDRESS(2,COLUMN())),OFFSET($BN$2,0,0,ROW()-1,60),ROW()-1,FALSE))</f>
        <v/>
      </c>
      <c r="K153" t="str">
        <f ca="1">IF(AND(ISNUMBER($K$348),$B$185=1),$K$348,HLOOKUP(INDIRECT(ADDRESS(2,COLUMN())),OFFSET($BN$2,0,0,ROW()-1,60),ROW()-1,FALSE))</f>
        <v/>
      </c>
      <c r="L153" t="str">
        <f ca="1">IF(AND(ISNUMBER($L$348),$B$185=1),$L$348,HLOOKUP(INDIRECT(ADDRESS(2,COLUMN())),OFFSET($BN$2,0,0,ROW()-1,60),ROW()-1,FALSE))</f>
        <v/>
      </c>
      <c r="M153" t="str">
        <f ca="1">IF(AND(ISNUMBER($M$348),$B$185=1),$M$348,HLOOKUP(INDIRECT(ADDRESS(2,COLUMN())),OFFSET($BN$2,0,0,ROW()-1,60),ROW()-1,FALSE))</f>
        <v/>
      </c>
      <c r="N153" t="str">
        <f ca="1">IF(AND(ISNUMBER($N$348),$B$185=1),$N$348,HLOOKUP(INDIRECT(ADDRESS(2,COLUMN())),OFFSET($BN$2,0,0,ROW()-1,60),ROW()-1,FALSE))</f>
        <v/>
      </c>
      <c r="O153" t="str">
        <f ca="1">IF(AND(ISNUMBER($O$348),$B$185=1),$O$348,HLOOKUP(INDIRECT(ADDRESS(2,COLUMN())),OFFSET($BN$2,0,0,ROW()-1,60),ROW()-1,FALSE))</f>
        <v/>
      </c>
      <c r="P153" t="str">
        <f ca="1">IF(AND(ISNUMBER($P$348),$B$185=1),$P$348,HLOOKUP(INDIRECT(ADDRESS(2,COLUMN())),OFFSET($BN$2,0,0,ROW()-1,60),ROW()-1,FALSE))</f>
        <v/>
      </c>
      <c r="Q153" t="str">
        <f ca="1">IF(AND(ISNUMBER($Q$348),$B$185=1),$Q$348,HLOOKUP(INDIRECT(ADDRESS(2,COLUMN())),OFFSET($BN$2,0,0,ROW()-1,60),ROW()-1,FALSE))</f>
        <v/>
      </c>
      <c r="R153" t="str">
        <f ca="1">IF(AND(ISNUMBER($R$348),$B$185=1),$R$348,HLOOKUP(INDIRECT(ADDRESS(2,COLUMN())),OFFSET($BN$2,0,0,ROW()-1,60),ROW()-1,FALSE))</f>
        <v/>
      </c>
      <c r="S153" t="str">
        <f ca="1">IF(AND(ISNUMBER($S$348),$B$185=1),$S$348,HLOOKUP(INDIRECT(ADDRESS(2,COLUMN())),OFFSET($BN$2,0,0,ROW()-1,60),ROW()-1,FALSE))</f>
        <v/>
      </c>
      <c r="T153" t="str">
        <f ca="1">IF(AND(ISNUMBER($T$348),$B$185=1),$T$348,HLOOKUP(INDIRECT(ADDRESS(2,COLUMN())),OFFSET($BN$2,0,0,ROW()-1,60),ROW()-1,FALSE))</f>
        <v/>
      </c>
      <c r="U153" t="str">
        <f ca="1">IF(AND(ISNUMBER($U$348),$B$185=1),$U$348,HLOOKUP(INDIRECT(ADDRESS(2,COLUMN())),OFFSET($BN$2,0,0,ROW()-1,60),ROW()-1,FALSE))</f>
        <v/>
      </c>
      <c r="V153" t="str">
        <f ca="1">IF(AND(ISNUMBER($V$348),$B$185=1),$V$348,HLOOKUP(INDIRECT(ADDRESS(2,COLUMN())),OFFSET($BN$2,0,0,ROW()-1,60),ROW()-1,FALSE))</f>
        <v/>
      </c>
      <c r="W153" t="str">
        <f ca="1">IF(AND(ISNUMBER($W$348),$B$185=1),$W$348,HLOOKUP(INDIRECT(ADDRESS(2,COLUMN())),OFFSET($BN$2,0,0,ROW()-1,60),ROW()-1,FALSE))</f>
        <v/>
      </c>
      <c r="X153" t="str">
        <f ca="1">IF(AND(ISNUMBER($X$348),$B$185=1),$X$348,HLOOKUP(INDIRECT(ADDRESS(2,COLUMN())),OFFSET($BN$2,0,0,ROW()-1,60),ROW()-1,FALSE))</f>
        <v/>
      </c>
      <c r="Y153" t="str">
        <f ca="1">IF(AND(ISNUMBER($Y$348),$B$185=1),$Y$348,HLOOKUP(INDIRECT(ADDRESS(2,COLUMN())),OFFSET($BN$2,0,0,ROW()-1,60),ROW()-1,FALSE))</f>
        <v/>
      </c>
      <c r="Z153" t="str">
        <f ca="1">IF(AND(ISNUMBER($Z$348),$B$185=1),$Z$348,HLOOKUP(INDIRECT(ADDRESS(2,COLUMN())),OFFSET($BN$2,0,0,ROW()-1,60),ROW()-1,FALSE))</f>
        <v/>
      </c>
      <c r="AA153" t="str">
        <f ca="1">IF(AND(ISNUMBER($AA$348),$B$185=1),$AA$348,HLOOKUP(INDIRECT(ADDRESS(2,COLUMN())),OFFSET($BN$2,0,0,ROW()-1,60),ROW()-1,FALSE))</f>
        <v/>
      </c>
      <c r="AB153" t="str">
        <f ca="1">IF(AND(ISNUMBER($AB$348),$B$185=1),$AB$348,HLOOKUP(INDIRECT(ADDRESS(2,COLUMN())),OFFSET($BN$2,0,0,ROW()-1,60),ROW()-1,FALSE))</f>
        <v/>
      </c>
      <c r="AC153" t="str">
        <f ca="1">IF(AND(ISNUMBER($AC$348),$B$185=1),$AC$348,HLOOKUP(INDIRECT(ADDRESS(2,COLUMN())),OFFSET($BN$2,0,0,ROW()-1,60),ROW()-1,FALSE))</f>
        <v/>
      </c>
      <c r="AD153" t="str">
        <f ca="1">IF(AND(ISNUMBER($AD$348),$B$185=1),$AD$348,HLOOKUP(INDIRECT(ADDRESS(2,COLUMN())),OFFSET($BN$2,0,0,ROW()-1,60),ROW()-1,FALSE))</f>
        <v/>
      </c>
      <c r="AE153" t="str">
        <f ca="1">IF(AND(ISNUMBER($AE$348),$B$185=1),$AE$348,HLOOKUP(INDIRECT(ADDRESS(2,COLUMN())),OFFSET($BN$2,0,0,ROW()-1,60),ROW()-1,FALSE))</f>
        <v/>
      </c>
      <c r="AF153" t="str">
        <f ca="1">IF(AND(ISNUMBER($AF$348),$B$185=1),$AF$348,HLOOKUP(INDIRECT(ADDRESS(2,COLUMN())),OFFSET($BN$2,0,0,ROW()-1,60),ROW()-1,FALSE))</f>
        <v/>
      </c>
      <c r="AG153" t="str">
        <f ca="1">IF(AND(ISNUMBER($AG$348),$B$185=1),$AG$348,HLOOKUP(INDIRECT(ADDRESS(2,COLUMN())),OFFSET($BN$2,0,0,ROW()-1,60),ROW()-1,FALSE))</f>
        <v/>
      </c>
      <c r="AH153" t="str">
        <f ca="1">IF(AND(ISNUMBER($AH$348),$B$185=1),$AH$348,HLOOKUP(INDIRECT(ADDRESS(2,COLUMN())),OFFSET($BN$2,0,0,ROW()-1,60),ROW()-1,FALSE))</f>
        <v/>
      </c>
      <c r="AI153" t="str">
        <f ca="1">IF(AND(ISNUMBER($AI$348),$B$185=1),$AI$348,HLOOKUP(INDIRECT(ADDRESS(2,COLUMN())),OFFSET($BN$2,0,0,ROW()-1,60),ROW()-1,FALSE))</f>
        <v/>
      </c>
      <c r="AJ153" t="str">
        <f ca="1">IF(AND(ISNUMBER($AJ$348),$B$185=1),$AJ$348,HLOOKUP(INDIRECT(ADDRESS(2,COLUMN())),OFFSET($BN$2,0,0,ROW()-1,60),ROW()-1,FALSE))</f>
        <v/>
      </c>
      <c r="AK153" t="str">
        <f ca="1">IF(AND(ISNUMBER($AK$348),$B$185=1),$AK$348,HLOOKUP(INDIRECT(ADDRESS(2,COLUMN())),OFFSET($BN$2,0,0,ROW()-1,60),ROW()-1,FALSE))</f>
        <v/>
      </c>
      <c r="AL153" t="str">
        <f ca="1">IF(AND(ISNUMBER($AL$348),$B$185=1),$AL$348,HLOOKUP(INDIRECT(ADDRESS(2,COLUMN())),OFFSET($BN$2,0,0,ROW()-1,60),ROW()-1,FALSE))</f>
        <v/>
      </c>
      <c r="AM153" t="str">
        <f ca="1">IF(AND(ISNUMBER($AM$348),$B$185=1),$AM$348,HLOOKUP(INDIRECT(ADDRESS(2,COLUMN())),OFFSET($BN$2,0,0,ROW()-1,60),ROW()-1,FALSE))</f>
        <v/>
      </c>
      <c r="AN153" t="str">
        <f ca="1">IF(AND(ISNUMBER($AN$348),$B$185=1),$AN$348,HLOOKUP(INDIRECT(ADDRESS(2,COLUMN())),OFFSET($BN$2,0,0,ROW()-1,60),ROW()-1,FALSE))</f>
        <v/>
      </c>
      <c r="AO153" t="str">
        <f ca="1">IF(AND(ISNUMBER($AO$348),$B$185=1),$AO$348,HLOOKUP(INDIRECT(ADDRESS(2,COLUMN())),OFFSET($BN$2,0,0,ROW()-1,60),ROW()-1,FALSE))</f>
        <v/>
      </c>
      <c r="AP153" t="str">
        <f ca="1">IF(AND(ISNUMBER($AP$348),$B$185=1),$AP$348,HLOOKUP(INDIRECT(ADDRESS(2,COLUMN())),OFFSET($BN$2,0,0,ROW()-1,60),ROW()-1,FALSE))</f>
        <v/>
      </c>
      <c r="AQ153" t="str">
        <f ca="1">IF(AND(ISNUMBER($AQ$348),$B$185=1),$AQ$348,HLOOKUP(INDIRECT(ADDRESS(2,COLUMN())),OFFSET($BN$2,0,0,ROW()-1,60),ROW()-1,FALSE))</f>
        <v/>
      </c>
      <c r="AR153" t="str">
        <f ca="1">IF(AND(ISNUMBER($AR$348),$B$185=1),$AR$348,HLOOKUP(INDIRECT(ADDRESS(2,COLUMN())),OFFSET($BN$2,0,0,ROW()-1,60),ROW()-1,FALSE))</f>
        <v/>
      </c>
      <c r="AS153" t="str">
        <f ca="1">IF(AND(ISNUMBER($AS$348),$B$185=1),$AS$348,HLOOKUP(INDIRECT(ADDRESS(2,COLUMN())),OFFSET($BN$2,0,0,ROW()-1,60),ROW()-1,FALSE))</f>
        <v/>
      </c>
      <c r="AT153" t="str">
        <f ca="1">IF(AND(ISNUMBER($AT$348),$B$185=1),$AT$348,HLOOKUP(INDIRECT(ADDRESS(2,COLUMN())),OFFSET($BN$2,0,0,ROW()-1,60),ROW()-1,FALSE))</f>
        <v/>
      </c>
      <c r="AU153" t="str">
        <f ca="1">IF(AND(ISNUMBER($AU$348),$B$185=1),$AU$348,HLOOKUP(INDIRECT(ADDRESS(2,COLUMN())),OFFSET($BN$2,0,0,ROW()-1,60),ROW()-1,FALSE))</f>
        <v/>
      </c>
      <c r="AV153" t="str">
        <f ca="1">IF(AND(ISNUMBER($AV$348),$B$185=1),$AV$348,HLOOKUP(INDIRECT(ADDRESS(2,COLUMN())),OFFSET($BN$2,0,0,ROW()-1,60),ROW()-1,FALSE))</f>
        <v/>
      </c>
      <c r="AW153" t="str">
        <f ca="1">IF(AND(ISNUMBER($AW$348),$B$185=1),$AW$348,HLOOKUP(INDIRECT(ADDRESS(2,COLUMN())),OFFSET($BN$2,0,0,ROW()-1,60),ROW()-1,FALSE))</f>
        <v/>
      </c>
      <c r="AX153" t="str">
        <f ca="1">IF(AND(ISNUMBER($AX$348),$B$185=1),$AX$348,HLOOKUP(INDIRECT(ADDRESS(2,COLUMN())),OFFSET($BN$2,0,0,ROW()-1,60),ROW()-1,FALSE))</f>
        <v/>
      </c>
      <c r="AY153" t="str">
        <f ca="1">IF(AND(ISNUMBER($AY$348),$B$185=1),$AY$348,HLOOKUP(INDIRECT(ADDRESS(2,COLUMN())),OFFSET($BN$2,0,0,ROW()-1,60),ROW()-1,FALSE))</f>
        <v/>
      </c>
      <c r="AZ153" t="str">
        <f ca="1">IF(AND(ISNUMBER($AZ$348),$B$185=1),$AZ$348,HLOOKUP(INDIRECT(ADDRESS(2,COLUMN())),OFFSET($BN$2,0,0,ROW()-1,60),ROW()-1,FALSE))</f>
        <v/>
      </c>
      <c r="BA153" t="str">
        <f ca="1">IF(AND(ISNUMBER($BA$348),$B$185=1),$BA$348,HLOOKUP(INDIRECT(ADDRESS(2,COLUMN())),OFFSET($BN$2,0,0,ROW()-1,60),ROW()-1,FALSE))</f>
        <v/>
      </c>
      <c r="BB153" t="str">
        <f ca="1">IF(AND(ISNUMBER($BB$348),$B$185=1),$BB$348,HLOOKUP(INDIRECT(ADDRESS(2,COLUMN())),OFFSET($BN$2,0,0,ROW()-1,60),ROW()-1,FALSE))</f>
        <v/>
      </c>
      <c r="BC153" t="str">
        <f ca="1">IF(AND(ISNUMBER($BC$348),$B$185=1),$BC$348,HLOOKUP(INDIRECT(ADDRESS(2,COLUMN())),OFFSET($BN$2,0,0,ROW()-1,60),ROW()-1,FALSE))</f>
        <v/>
      </c>
      <c r="BD153" t="str">
        <f ca="1">IF(AND(ISNUMBER($BD$348),$B$185=1),$BD$348,HLOOKUP(INDIRECT(ADDRESS(2,COLUMN())),OFFSET($BN$2,0,0,ROW()-1,60),ROW()-1,FALSE))</f>
        <v/>
      </c>
      <c r="BE153" t="str">
        <f ca="1">IF(AND(ISNUMBER($BE$348),$B$185=1),$BE$348,HLOOKUP(INDIRECT(ADDRESS(2,COLUMN())),OFFSET($BN$2,0,0,ROW()-1,60),ROW()-1,FALSE))</f>
        <v/>
      </c>
      <c r="BF153" t="str">
        <f ca="1">IF(AND(ISNUMBER($BF$348),$B$185=1),$BF$348,HLOOKUP(INDIRECT(ADDRESS(2,COLUMN())),OFFSET($BN$2,0,0,ROW()-1,60),ROW()-1,FALSE))</f>
        <v/>
      </c>
      <c r="BG153" t="str">
        <f ca="1">IF(AND(ISNUMBER($BG$348),$B$185=1),$BG$348,HLOOKUP(INDIRECT(ADDRESS(2,COLUMN())),OFFSET($BN$2,0,0,ROW()-1,60),ROW()-1,FALSE))</f>
        <v/>
      </c>
      <c r="BH153" t="str">
        <f ca="1">IF(AND(ISNUMBER($BH$348),$B$185=1),$BH$348,HLOOKUP(INDIRECT(ADDRESS(2,COLUMN())),OFFSET($BN$2,0,0,ROW()-1,60),ROW()-1,FALSE))</f>
        <v/>
      </c>
      <c r="BI153" t="str">
        <f ca="1">IF(AND(ISNUMBER($BI$348),$B$185=1),$BI$348,HLOOKUP(INDIRECT(ADDRESS(2,COLUMN())),OFFSET($BN$2,0,0,ROW()-1,60),ROW()-1,FALSE))</f>
        <v/>
      </c>
      <c r="BJ153" t="str">
        <f ca="1">IF(AND(ISNUMBER($BJ$348),$B$185=1),$BJ$348,HLOOKUP(INDIRECT(ADDRESS(2,COLUMN())),OFFSET($BN$2,0,0,ROW()-1,60),ROW()-1,FALSE))</f>
        <v/>
      </c>
      <c r="BK153" t="str">
        <f ca="1">IF(AND(ISNUMBER($BK$348),$B$185=1),$BK$348,HLOOKUP(INDIRECT(ADDRESS(2,COLUMN())),OFFSET($BN$2,0,0,ROW()-1,60),ROW()-1,FALSE))</f>
        <v/>
      </c>
      <c r="BL153" t="str">
        <f ca="1">IF(AND(ISNUMBER($BL$348),$B$185=1),$BL$348,HLOOKUP(INDIRECT(ADDRESS(2,COLUMN())),OFFSET($BN$2,0,0,ROW()-1,60),ROW()-1,FALSE))</f>
        <v/>
      </c>
      <c r="BM153" t="str">
        <f ca="1">IF(AND(ISNUMBER($BM$348),$B$185=1),$BM$348,HLOOKUP(INDIRECT(ADDRESS(2,COLUMN())),OFFSET($BN$2,0,0,ROW()-1,60),ROW()-1,FALSE))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  <c r="BT153" t="str">
        <f>""</f>
        <v/>
      </c>
      <c r="BU153" t="str">
        <f>""</f>
        <v/>
      </c>
      <c r="BV153" t="str">
        <f>""</f>
        <v/>
      </c>
      <c r="BW153" t="str">
        <f>""</f>
        <v/>
      </c>
      <c r="BX153" t="str">
        <f>""</f>
        <v/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  <c r="CI153" t="str">
        <f>""</f>
        <v/>
      </c>
      <c r="CJ153" t="str">
        <f>""</f>
        <v/>
      </c>
      <c r="CK153" t="str">
        <f>""</f>
        <v/>
      </c>
      <c r="CL153" t="str">
        <f>""</f>
        <v/>
      </c>
      <c r="CM153" t="str">
        <f>""</f>
        <v/>
      </c>
      <c r="CN153" t="str">
        <f>""</f>
        <v/>
      </c>
      <c r="CO153" t="str">
        <f>""</f>
        <v/>
      </c>
      <c r="CP153" t="str">
        <f>""</f>
        <v/>
      </c>
      <c r="CQ153" t="str">
        <f>""</f>
        <v/>
      </c>
      <c r="CR153" t="str">
        <f>""</f>
        <v/>
      </c>
      <c r="CS153" t="str">
        <f>""</f>
        <v/>
      </c>
      <c r="CT153" t="str">
        <f>""</f>
        <v/>
      </c>
      <c r="CU153" t="str">
        <f>""</f>
        <v/>
      </c>
      <c r="CV153" t="str">
        <f>""</f>
        <v/>
      </c>
      <c r="CW153" t="str">
        <f>""</f>
        <v/>
      </c>
      <c r="CX153" t="str">
        <f>""</f>
        <v/>
      </c>
      <c r="CY153" t="str">
        <f>""</f>
        <v/>
      </c>
      <c r="CZ153" t="str">
        <f>""</f>
        <v/>
      </c>
      <c r="DA153" t="str">
        <f>""</f>
        <v/>
      </c>
      <c r="DB153" t="str">
        <f>""</f>
        <v/>
      </c>
      <c r="DC153" t="str">
        <f>""</f>
        <v/>
      </c>
      <c r="DD153" t="str">
        <f>""</f>
        <v/>
      </c>
      <c r="DE153" t="str">
        <f>""</f>
        <v/>
      </c>
      <c r="DF153" t="str">
        <f>""</f>
        <v/>
      </c>
      <c r="DG153" t="str">
        <f>""</f>
        <v/>
      </c>
      <c r="DH153" t="str">
        <f>""</f>
        <v/>
      </c>
      <c r="DI153" t="str">
        <f>""</f>
        <v/>
      </c>
      <c r="DJ153" t="str">
        <f>""</f>
        <v/>
      </c>
      <c r="DK153" t="str">
        <f>""</f>
        <v/>
      </c>
      <c r="DL153" t="str">
        <f>""</f>
        <v/>
      </c>
      <c r="DM153" t="str">
        <f>""</f>
        <v/>
      </c>
      <c r="DN153" t="str">
        <f>""</f>
        <v/>
      </c>
      <c r="DO153" t="str">
        <f>""</f>
        <v/>
      </c>
      <c r="DP153" t="str">
        <f>""</f>
        <v/>
      </c>
      <c r="DQ153" t="str">
        <f>""</f>
        <v/>
      </c>
      <c r="DR153" t="str">
        <f>""</f>
        <v/>
      </c>
      <c r="DS153" t="str">
        <f>""</f>
        <v/>
      </c>
      <c r="DT153" t="str">
        <f>""</f>
        <v/>
      </c>
      <c r="DU153" t="str">
        <f>""</f>
        <v/>
      </c>
    </row>
    <row r="154" spans="1:125">
      <c r="A154" t="str">
        <f>"    First Republic Bank/CA"</f>
        <v xml:space="preserve">    First Republic Bank/CA</v>
      </c>
      <c r="B154" t="str">
        <f>"FRCB US Equity"</f>
        <v>FRCB US Equity</v>
      </c>
      <c r="C154" t="str">
        <f t="shared" si="19"/>
        <v>BS963</v>
      </c>
      <c r="D154" t="str">
        <f t="shared" si="20"/>
        <v>BS_COMML_MTG_SERVICED_OTHERS</v>
      </c>
      <c r="E154" t="str">
        <f t="shared" si="21"/>
        <v>Dynamic</v>
      </c>
      <c r="F154" t="str">
        <f ca="1">IF(AND(ISNUMBER($F$349),$B$185=1),$F$349,HLOOKUP(INDIRECT(ADDRESS(2,COLUMN())),OFFSET($BN$2,0,0,ROW()-1,60),ROW()-1,FALSE))</f>
        <v/>
      </c>
      <c r="G154" t="str">
        <f ca="1">IF(AND(ISNUMBER($G$349),$B$185=1),$G$349,HLOOKUP(INDIRECT(ADDRESS(2,COLUMN())),OFFSET($BN$2,0,0,ROW()-1,60),ROW()-1,FALSE))</f>
        <v/>
      </c>
      <c r="H154" t="str">
        <f ca="1">IF(AND(ISNUMBER($H$349),$B$185=1),$H$349,HLOOKUP(INDIRECT(ADDRESS(2,COLUMN())),OFFSET($BN$2,0,0,ROW()-1,60),ROW()-1,FALSE))</f>
        <v/>
      </c>
      <c r="I154" t="str">
        <f ca="1">IF(AND(ISNUMBER($I$349),$B$185=1),$I$349,HLOOKUP(INDIRECT(ADDRESS(2,COLUMN())),OFFSET($BN$2,0,0,ROW()-1,60),ROW()-1,FALSE))</f>
        <v/>
      </c>
      <c r="J154" t="str">
        <f ca="1">IF(AND(ISNUMBER($J$349),$B$185=1),$J$349,HLOOKUP(INDIRECT(ADDRESS(2,COLUMN())),OFFSET($BN$2,0,0,ROW()-1,60),ROW()-1,FALSE))</f>
        <v/>
      </c>
      <c r="K154" t="str">
        <f ca="1">IF(AND(ISNUMBER($K$349),$B$185=1),$K$349,HLOOKUP(INDIRECT(ADDRESS(2,COLUMN())),OFFSET($BN$2,0,0,ROW()-1,60),ROW()-1,FALSE))</f>
        <v/>
      </c>
      <c r="L154" t="str">
        <f ca="1">IF(AND(ISNUMBER($L$349),$B$185=1),$L$349,HLOOKUP(INDIRECT(ADDRESS(2,COLUMN())),OFFSET($BN$2,0,0,ROW()-1,60),ROW()-1,FALSE))</f>
        <v/>
      </c>
      <c r="M154" t="str">
        <f ca="1">IF(AND(ISNUMBER($M$349),$B$185=1),$M$349,HLOOKUP(INDIRECT(ADDRESS(2,COLUMN())),OFFSET($BN$2,0,0,ROW()-1,60),ROW()-1,FALSE))</f>
        <v/>
      </c>
      <c r="N154" t="str">
        <f ca="1">IF(AND(ISNUMBER($N$349),$B$185=1),$N$349,HLOOKUP(INDIRECT(ADDRESS(2,COLUMN())),OFFSET($BN$2,0,0,ROW()-1,60),ROW()-1,FALSE))</f>
        <v/>
      </c>
      <c r="O154" t="str">
        <f ca="1">IF(AND(ISNUMBER($O$349),$B$185=1),$O$349,HLOOKUP(INDIRECT(ADDRESS(2,COLUMN())),OFFSET($BN$2,0,0,ROW()-1,60),ROW()-1,FALSE))</f>
        <v/>
      </c>
      <c r="P154" t="str">
        <f ca="1">IF(AND(ISNUMBER($P$349),$B$185=1),$P$349,HLOOKUP(INDIRECT(ADDRESS(2,COLUMN())),OFFSET($BN$2,0,0,ROW()-1,60),ROW()-1,FALSE))</f>
        <v/>
      </c>
      <c r="Q154" t="str">
        <f ca="1">IF(AND(ISNUMBER($Q$349),$B$185=1),$Q$349,HLOOKUP(INDIRECT(ADDRESS(2,COLUMN())),OFFSET($BN$2,0,0,ROW()-1,60),ROW()-1,FALSE))</f>
        <v/>
      </c>
      <c r="R154" t="str">
        <f ca="1">IF(AND(ISNUMBER($R$349),$B$185=1),$R$349,HLOOKUP(INDIRECT(ADDRESS(2,COLUMN())),OFFSET($BN$2,0,0,ROW()-1,60),ROW()-1,FALSE))</f>
        <v/>
      </c>
      <c r="S154" t="str">
        <f ca="1">IF(AND(ISNUMBER($S$349),$B$185=1),$S$349,HLOOKUP(INDIRECT(ADDRESS(2,COLUMN())),OFFSET($BN$2,0,0,ROW()-1,60),ROW()-1,FALSE))</f>
        <v/>
      </c>
      <c r="T154" t="str">
        <f ca="1">IF(AND(ISNUMBER($T$349),$B$185=1),$T$349,HLOOKUP(INDIRECT(ADDRESS(2,COLUMN())),OFFSET($BN$2,0,0,ROW()-1,60),ROW()-1,FALSE))</f>
        <v/>
      </c>
      <c r="U154" t="str">
        <f ca="1">IF(AND(ISNUMBER($U$349),$B$185=1),$U$349,HLOOKUP(INDIRECT(ADDRESS(2,COLUMN())),OFFSET($BN$2,0,0,ROW()-1,60),ROW()-1,FALSE))</f>
        <v/>
      </c>
      <c r="V154" t="str">
        <f ca="1">IF(AND(ISNUMBER($V$349),$B$185=1),$V$349,HLOOKUP(INDIRECT(ADDRESS(2,COLUMN())),OFFSET($BN$2,0,0,ROW()-1,60),ROW()-1,FALSE))</f>
        <v/>
      </c>
      <c r="W154" t="str">
        <f ca="1">IF(AND(ISNUMBER($W$349),$B$185=1),$W$349,HLOOKUP(INDIRECT(ADDRESS(2,COLUMN())),OFFSET($BN$2,0,0,ROW()-1,60),ROW()-1,FALSE))</f>
        <v/>
      </c>
      <c r="X154" t="str">
        <f ca="1">IF(AND(ISNUMBER($X$349),$B$185=1),$X$349,HLOOKUP(INDIRECT(ADDRESS(2,COLUMN())),OFFSET($BN$2,0,0,ROW()-1,60),ROW()-1,FALSE))</f>
        <v/>
      </c>
      <c r="Y154" t="str">
        <f ca="1">IF(AND(ISNUMBER($Y$349),$B$185=1),$Y$349,HLOOKUP(INDIRECT(ADDRESS(2,COLUMN())),OFFSET($BN$2,0,0,ROW()-1,60),ROW()-1,FALSE))</f>
        <v/>
      </c>
      <c r="Z154" t="str">
        <f ca="1">IF(AND(ISNUMBER($Z$349),$B$185=1),$Z$349,HLOOKUP(INDIRECT(ADDRESS(2,COLUMN())),OFFSET($BN$2,0,0,ROW()-1,60),ROW()-1,FALSE))</f>
        <v/>
      </c>
      <c r="AA154" t="str">
        <f ca="1">IF(AND(ISNUMBER($AA$349),$B$185=1),$AA$349,HLOOKUP(INDIRECT(ADDRESS(2,COLUMN())),OFFSET($BN$2,0,0,ROW()-1,60),ROW()-1,FALSE))</f>
        <v/>
      </c>
      <c r="AB154" t="str">
        <f ca="1">IF(AND(ISNUMBER($AB$349),$B$185=1),$AB$349,HLOOKUP(INDIRECT(ADDRESS(2,COLUMN())),OFFSET($BN$2,0,0,ROW()-1,60),ROW()-1,FALSE))</f>
        <v/>
      </c>
      <c r="AC154" t="str">
        <f ca="1">IF(AND(ISNUMBER($AC$349),$B$185=1),$AC$349,HLOOKUP(INDIRECT(ADDRESS(2,COLUMN())),OFFSET($BN$2,0,0,ROW()-1,60),ROW()-1,FALSE))</f>
        <v/>
      </c>
      <c r="AD154" t="str">
        <f ca="1">IF(AND(ISNUMBER($AD$349),$B$185=1),$AD$349,HLOOKUP(INDIRECT(ADDRESS(2,COLUMN())),OFFSET($BN$2,0,0,ROW()-1,60),ROW()-1,FALSE))</f>
        <v/>
      </c>
      <c r="AE154" t="str">
        <f ca="1">IF(AND(ISNUMBER($AE$349),$B$185=1),$AE$349,HLOOKUP(INDIRECT(ADDRESS(2,COLUMN())),OFFSET($BN$2,0,0,ROW()-1,60),ROW()-1,FALSE))</f>
        <v/>
      </c>
      <c r="AF154" t="str">
        <f ca="1">IF(AND(ISNUMBER($AF$349),$B$185=1),$AF$349,HLOOKUP(INDIRECT(ADDRESS(2,COLUMN())),OFFSET($BN$2,0,0,ROW()-1,60),ROW()-1,FALSE))</f>
        <v/>
      </c>
      <c r="AG154" t="str">
        <f ca="1">IF(AND(ISNUMBER($AG$349),$B$185=1),$AG$349,HLOOKUP(INDIRECT(ADDRESS(2,COLUMN())),OFFSET($BN$2,0,0,ROW()-1,60),ROW()-1,FALSE))</f>
        <v/>
      </c>
      <c r="AH154" t="str">
        <f ca="1">IF(AND(ISNUMBER($AH$349),$B$185=1),$AH$349,HLOOKUP(INDIRECT(ADDRESS(2,COLUMN())),OFFSET($BN$2,0,0,ROW()-1,60),ROW()-1,FALSE))</f>
        <v/>
      </c>
      <c r="AI154" t="str">
        <f ca="1">IF(AND(ISNUMBER($AI$349),$B$185=1),$AI$349,HLOOKUP(INDIRECT(ADDRESS(2,COLUMN())),OFFSET($BN$2,0,0,ROW()-1,60),ROW()-1,FALSE))</f>
        <v/>
      </c>
      <c r="AJ154" t="str">
        <f ca="1">IF(AND(ISNUMBER($AJ$349),$B$185=1),$AJ$349,HLOOKUP(INDIRECT(ADDRESS(2,COLUMN())),OFFSET($BN$2,0,0,ROW()-1,60),ROW()-1,FALSE))</f>
        <v/>
      </c>
      <c r="AK154" t="str">
        <f ca="1">IF(AND(ISNUMBER($AK$349),$B$185=1),$AK$349,HLOOKUP(INDIRECT(ADDRESS(2,COLUMN())),OFFSET($BN$2,0,0,ROW()-1,60),ROW()-1,FALSE))</f>
        <v/>
      </c>
      <c r="AL154" t="str">
        <f ca="1">IF(AND(ISNUMBER($AL$349),$B$185=1),$AL$349,HLOOKUP(INDIRECT(ADDRESS(2,COLUMN())),OFFSET($BN$2,0,0,ROW()-1,60),ROW()-1,FALSE))</f>
        <v/>
      </c>
      <c r="AM154" t="str">
        <f ca="1">IF(AND(ISNUMBER($AM$349),$B$185=1),$AM$349,HLOOKUP(INDIRECT(ADDRESS(2,COLUMN())),OFFSET($BN$2,0,0,ROW()-1,60),ROW()-1,FALSE))</f>
        <v/>
      </c>
      <c r="AN154" t="str">
        <f ca="1">IF(AND(ISNUMBER($AN$349),$B$185=1),$AN$349,HLOOKUP(INDIRECT(ADDRESS(2,COLUMN())),OFFSET($BN$2,0,0,ROW()-1,60),ROW()-1,FALSE))</f>
        <v/>
      </c>
      <c r="AO154" t="str">
        <f ca="1">IF(AND(ISNUMBER($AO$349),$B$185=1),$AO$349,HLOOKUP(INDIRECT(ADDRESS(2,COLUMN())),OFFSET($BN$2,0,0,ROW()-1,60),ROW()-1,FALSE))</f>
        <v/>
      </c>
      <c r="AP154" t="str">
        <f ca="1">IF(AND(ISNUMBER($AP$349),$B$185=1),$AP$349,HLOOKUP(INDIRECT(ADDRESS(2,COLUMN())),OFFSET($BN$2,0,0,ROW()-1,60),ROW()-1,FALSE))</f>
        <v/>
      </c>
      <c r="AQ154" t="str">
        <f ca="1">IF(AND(ISNUMBER($AQ$349),$B$185=1),$AQ$349,HLOOKUP(INDIRECT(ADDRESS(2,COLUMN())),OFFSET($BN$2,0,0,ROW()-1,60),ROW()-1,FALSE))</f>
        <v/>
      </c>
      <c r="AR154" t="str">
        <f ca="1">IF(AND(ISNUMBER($AR$349),$B$185=1),$AR$349,HLOOKUP(INDIRECT(ADDRESS(2,COLUMN())),OFFSET($BN$2,0,0,ROW()-1,60),ROW()-1,FALSE))</f>
        <v/>
      </c>
      <c r="AS154" t="str">
        <f ca="1">IF(AND(ISNUMBER($AS$349),$B$185=1),$AS$349,HLOOKUP(INDIRECT(ADDRESS(2,COLUMN())),OFFSET($BN$2,0,0,ROW()-1,60),ROW()-1,FALSE))</f>
        <v/>
      </c>
      <c r="AT154" t="str">
        <f ca="1">IF(AND(ISNUMBER($AT$349),$B$185=1),$AT$349,HLOOKUP(INDIRECT(ADDRESS(2,COLUMN())),OFFSET($BN$2,0,0,ROW()-1,60),ROW()-1,FALSE))</f>
        <v/>
      </c>
      <c r="AU154" t="str">
        <f ca="1">IF(AND(ISNUMBER($AU$349),$B$185=1),$AU$349,HLOOKUP(INDIRECT(ADDRESS(2,COLUMN())),OFFSET($BN$2,0,0,ROW()-1,60),ROW()-1,FALSE))</f>
        <v/>
      </c>
      <c r="AV154" t="str">
        <f ca="1">IF(AND(ISNUMBER($AV$349),$B$185=1),$AV$349,HLOOKUP(INDIRECT(ADDRESS(2,COLUMN())),OFFSET($BN$2,0,0,ROW()-1,60),ROW()-1,FALSE))</f>
        <v/>
      </c>
      <c r="AW154" t="str">
        <f ca="1">IF(AND(ISNUMBER($AW$349),$B$185=1),$AW$349,HLOOKUP(INDIRECT(ADDRESS(2,COLUMN())),OFFSET($BN$2,0,0,ROW()-1,60),ROW()-1,FALSE))</f>
        <v/>
      </c>
      <c r="AX154" t="str">
        <f ca="1">IF(AND(ISNUMBER($AX$349),$B$185=1),$AX$349,HLOOKUP(INDIRECT(ADDRESS(2,COLUMN())),OFFSET($BN$2,0,0,ROW()-1,60),ROW()-1,FALSE))</f>
        <v/>
      </c>
      <c r="AY154" t="str">
        <f ca="1">IF(AND(ISNUMBER($AY$349),$B$185=1),$AY$349,HLOOKUP(INDIRECT(ADDRESS(2,COLUMN())),OFFSET($BN$2,0,0,ROW()-1,60),ROW()-1,FALSE))</f>
        <v/>
      </c>
      <c r="AZ154" t="str">
        <f ca="1">IF(AND(ISNUMBER($AZ$349),$B$185=1),$AZ$349,HLOOKUP(INDIRECT(ADDRESS(2,COLUMN())),OFFSET($BN$2,0,0,ROW()-1,60),ROW()-1,FALSE))</f>
        <v/>
      </c>
      <c r="BA154" t="str">
        <f ca="1">IF(AND(ISNUMBER($BA$349),$B$185=1),$BA$349,HLOOKUP(INDIRECT(ADDRESS(2,COLUMN())),OFFSET($BN$2,0,0,ROW()-1,60),ROW()-1,FALSE))</f>
        <v/>
      </c>
      <c r="BB154" t="str">
        <f ca="1">IF(AND(ISNUMBER($BB$349),$B$185=1),$BB$349,HLOOKUP(INDIRECT(ADDRESS(2,COLUMN())),OFFSET($BN$2,0,0,ROW()-1,60),ROW()-1,FALSE))</f>
        <v/>
      </c>
      <c r="BC154" t="str">
        <f ca="1">IF(AND(ISNUMBER($BC$349),$B$185=1),$BC$349,HLOOKUP(INDIRECT(ADDRESS(2,COLUMN())),OFFSET($BN$2,0,0,ROW()-1,60),ROW()-1,FALSE))</f>
        <v/>
      </c>
      <c r="BD154" t="str">
        <f ca="1">IF(AND(ISNUMBER($BD$349),$B$185=1),$BD$349,HLOOKUP(INDIRECT(ADDRESS(2,COLUMN())),OFFSET($BN$2,0,0,ROW()-1,60),ROW()-1,FALSE))</f>
        <v/>
      </c>
      <c r="BE154" t="str">
        <f ca="1">IF(AND(ISNUMBER($BE$349),$B$185=1),$BE$349,HLOOKUP(INDIRECT(ADDRESS(2,COLUMN())),OFFSET($BN$2,0,0,ROW()-1,60),ROW()-1,FALSE))</f>
        <v/>
      </c>
      <c r="BF154" t="str">
        <f ca="1">IF(AND(ISNUMBER($BF$349),$B$185=1),$BF$349,HLOOKUP(INDIRECT(ADDRESS(2,COLUMN())),OFFSET($BN$2,0,0,ROW()-1,60),ROW()-1,FALSE))</f>
        <v/>
      </c>
      <c r="BG154" t="str">
        <f ca="1">IF(AND(ISNUMBER($BG$349),$B$185=1),$BG$349,HLOOKUP(INDIRECT(ADDRESS(2,COLUMN())),OFFSET($BN$2,0,0,ROW()-1,60),ROW()-1,FALSE))</f>
        <v/>
      </c>
      <c r="BH154" t="str">
        <f ca="1">IF(AND(ISNUMBER($BH$349),$B$185=1),$BH$349,HLOOKUP(INDIRECT(ADDRESS(2,COLUMN())),OFFSET($BN$2,0,0,ROW()-1,60),ROW()-1,FALSE))</f>
        <v/>
      </c>
      <c r="BI154" t="str">
        <f ca="1">IF(AND(ISNUMBER($BI$349),$B$185=1),$BI$349,HLOOKUP(INDIRECT(ADDRESS(2,COLUMN())),OFFSET($BN$2,0,0,ROW()-1,60),ROW()-1,FALSE))</f>
        <v/>
      </c>
      <c r="BJ154" t="str">
        <f ca="1">IF(AND(ISNUMBER($BJ$349),$B$185=1),$BJ$349,HLOOKUP(INDIRECT(ADDRESS(2,COLUMN())),OFFSET($BN$2,0,0,ROW()-1,60),ROW()-1,FALSE))</f>
        <v/>
      </c>
      <c r="BK154" t="str">
        <f ca="1">IF(AND(ISNUMBER($BK$349),$B$185=1),$BK$349,HLOOKUP(INDIRECT(ADDRESS(2,COLUMN())),OFFSET($BN$2,0,0,ROW()-1,60),ROW()-1,FALSE))</f>
        <v/>
      </c>
      <c r="BL154" t="str">
        <f ca="1">IF(AND(ISNUMBER($BL$349),$B$185=1),$BL$349,HLOOKUP(INDIRECT(ADDRESS(2,COLUMN())),OFFSET($BN$2,0,0,ROW()-1,60),ROW()-1,FALSE))</f>
        <v/>
      </c>
      <c r="BM154" t="str">
        <f ca="1">IF(AND(ISNUMBER($BM$349),$B$185=1),$BM$349,HLOOKUP(INDIRECT(ADDRESS(2,COLUMN())),OFFSET($BN$2,0,0,ROW()-1,60),ROW()-1,FALSE))</f>
        <v/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>
      <c r="A155" t="str">
        <f>"    Fifth Third Bancorp"</f>
        <v xml:space="preserve">    Fifth Third Bancorp</v>
      </c>
      <c r="B155" t="str">
        <f>"FITB US Equity"</f>
        <v>FITB US Equity</v>
      </c>
      <c r="C155" t="str">
        <f t="shared" si="19"/>
        <v>BS963</v>
      </c>
      <c r="D155" t="str">
        <f t="shared" si="20"/>
        <v>BS_COMML_MTG_SERVICED_OTHERS</v>
      </c>
      <c r="E155" t="str">
        <f t="shared" si="21"/>
        <v>Dynamic</v>
      </c>
      <c r="F155">
        <f ca="1">IF(AND(ISNUMBER($F$350),$B$185=1),$F$350,HLOOKUP(INDIRECT(ADDRESS(2,COLUMN())),OFFSET($BN$2,0,0,ROW()-1,60),ROW()-1,FALSE))</f>
        <v>579</v>
      </c>
      <c r="G155">
        <f ca="1">IF(AND(ISNUMBER($G$350),$B$185=1),$G$350,HLOOKUP(INDIRECT(ADDRESS(2,COLUMN())),OFFSET($BN$2,0,0,ROW()-1,60),ROW()-1,FALSE))</f>
        <v>515</v>
      </c>
      <c r="H155">
        <f ca="1">IF(AND(ISNUMBER($H$350),$B$185=1),$H$350,HLOOKUP(INDIRECT(ADDRESS(2,COLUMN())),OFFSET($BN$2,0,0,ROW()-1,60),ROW()-1,FALSE))</f>
        <v>616</v>
      </c>
      <c r="I155">
        <f ca="1">IF(AND(ISNUMBER($I$350),$B$185=1),$I$350,HLOOKUP(INDIRECT(ADDRESS(2,COLUMN())),OFFSET($BN$2,0,0,ROW()-1,60),ROW()-1,FALSE))</f>
        <v>632</v>
      </c>
      <c r="J155">
        <f ca="1">IF(AND(ISNUMBER($J$350),$B$185=1),$J$350,HLOOKUP(INDIRECT(ADDRESS(2,COLUMN())),OFFSET($BN$2,0,0,ROW()-1,60),ROW()-1,FALSE))</f>
        <v>655</v>
      </c>
      <c r="K155">
        <f ca="1">IF(AND(ISNUMBER($K$350),$B$185=1),$K$350,HLOOKUP(INDIRECT(ADDRESS(2,COLUMN())),OFFSET($BN$2,0,0,ROW()-1,60),ROW()-1,FALSE))</f>
        <v>711</v>
      </c>
      <c r="L155">
        <f ca="1">IF(AND(ISNUMBER($L$350),$B$185=1),$L$350,HLOOKUP(INDIRECT(ADDRESS(2,COLUMN())),OFFSET($BN$2,0,0,ROW()-1,60),ROW()-1,FALSE))</f>
        <v>748</v>
      </c>
      <c r="M155">
        <f ca="1">IF(AND(ISNUMBER($M$350),$B$185=1),$M$350,HLOOKUP(INDIRECT(ADDRESS(2,COLUMN())),OFFSET($BN$2,0,0,ROW()-1,60),ROW()-1,FALSE))</f>
        <v>696</v>
      </c>
      <c r="N155">
        <f ca="1">IF(AND(ISNUMBER($N$350),$B$185=1),$N$350,HLOOKUP(INDIRECT(ADDRESS(2,COLUMN())),OFFSET($BN$2,0,0,ROW()-1,60),ROW()-1,FALSE))</f>
        <v>614</v>
      </c>
      <c r="O155">
        <f ca="1">IF(AND(ISNUMBER($O$350),$B$185=1),$O$350,HLOOKUP(INDIRECT(ADDRESS(2,COLUMN())),OFFSET($BN$2,0,0,ROW()-1,60),ROW()-1,FALSE))</f>
        <v>630</v>
      </c>
      <c r="P155">
        <f ca="1">IF(AND(ISNUMBER($P$350),$B$185=1),$P$350,HLOOKUP(INDIRECT(ADDRESS(2,COLUMN())),OFFSET($BN$2,0,0,ROW()-1,60),ROW()-1,FALSE))</f>
        <v>601</v>
      </c>
      <c r="Q155">
        <f ca="1">IF(AND(ISNUMBER($Q$350),$B$185=1),$Q$350,HLOOKUP(INDIRECT(ADDRESS(2,COLUMN())),OFFSET($BN$2,0,0,ROW()-1,60),ROW()-1,FALSE))</f>
        <v>592</v>
      </c>
      <c r="R155">
        <f ca="1">IF(AND(ISNUMBER($R$350),$B$185=1),$R$350,HLOOKUP(INDIRECT(ADDRESS(2,COLUMN())),OFFSET($BN$2,0,0,ROW()-1,60),ROW()-1,FALSE))</f>
        <v>610</v>
      </c>
      <c r="S155">
        <f ca="1">IF(AND(ISNUMBER($S$350),$B$185=1),$S$350,HLOOKUP(INDIRECT(ADDRESS(2,COLUMN())),OFFSET($BN$2,0,0,ROW()-1,60),ROW()-1,FALSE))</f>
        <v>620</v>
      </c>
      <c r="T155">
        <f ca="1">IF(AND(ISNUMBER($T$350),$B$185=1),$T$350,HLOOKUP(INDIRECT(ADDRESS(2,COLUMN())),OFFSET($BN$2,0,0,ROW()-1,60),ROW()-1,FALSE))</f>
        <v>623</v>
      </c>
      <c r="U155">
        <f ca="1">IF(AND(ISNUMBER($U$350),$B$185=1),$U$350,HLOOKUP(INDIRECT(ADDRESS(2,COLUMN())),OFFSET($BN$2,0,0,ROW()-1,60),ROW()-1,FALSE))</f>
        <v>639</v>
      </c>
      <c r="V155">
        <f ca="1">IF(AND(ISNUMBER($V$350),$B$185=1),$V$350,HLOOKUP(INDIRECT(ADDRESS(2,COLUMN())),OFFSET($BN$2,0,0,ROW()-1,60),ROW()-1,FALSE))</f>
        <v>653</v>
      </c>
      <c r="W155">
        <f ca="1">IF(AND(ISNUMBER($W$350),$B$185=1),$W$350,HLOOKUP(INDIRECT(ADDRESS(2,COLUMN())),OFFSET($BN$2,0,0,ROW()-1,60),ROW()-1,FALSE))</f>
        <v>585</v>
      </c>
      <c r="X155">
        <f ca="1">IF(AND(ISNUMBER($X$350),$B$185=1),$X$350,HLOOKUP(INDIRECT(ADDRESS(2,COLUMN())),OFFSET($BN$2,0,0,ROW()-1,60),ROW()-1,FALSE))</f>
        <v>592</v>
      </c>
      <c r="Y155">
        <f ca="1">IF(AND(ISNUMBER($Y$350),$B$185=1),$Y$350,HLOOKUP(INDIRECT(ADDRESS(2,COLUMN())),OFFSET($BN$2,0,0,ROW()-1,60),ROW()-1,FALSE))</f>
        <v>545</v>
      </c>
      <c r="Z155">
        <f ca="1">IF(AND(ISNUMBER($Z$350),$B$185=1),$Z$350,HLOOKUP(INDIRECT(ADDRESS(2,COLUMN())),OFFSET($BN$2,0,0,ROW()-1,60),ROW()-1,FALSE))</f>
        <v>454</v>
      </c>
      <c r="AA155">
        <f ca="1">IF(AND(ISNUMBER($AA$350),$B$185=1),$AA$350,HLOOKUP(INDIRECT(ADDRESS(2,COLUMN())),OFFSET($BN$2,0,0,ROW()-1,60),ROW()-1,FALSE))</f>
        <v>446</v>
      </c>
      <c r="AB155">
        <f ca="1">IF(AND(ISNUMBER($AB$350),$B$185=1),$AB$350,HLOOKUP(INDIRECT(ADDRESS(2,COLUMN())),OFFSET($BN$2,0,0,ROW()-1,60),ROW()-1,FALSE))</f>
        <v>438</v>
      </c>
      <c r="AC155">
        <f ca="1">IF(AND(ISNUMBER($AC$350),$B$185=1),$AC$350,HLOOKUP(INDIRECT(ADDRESS(2,COLUMN())),OFFSET($BN$2,0,0,ROW()-1,60),ROW()-1,FALSE))</f>
        <v>467</v>
      </c>
      <c r="AD155">
        <f ca="1">IF(AND(ISNUMBER($AD$350),$B$185=1),$AD$350,HLOOKUP(INDIRECT(ADDRESS(2,COLUMN())),OFFSET($BN$2,0,0,ROW()-1,60),ROW()-1,FALSE))</f>
        <v>292</v>
      </c>
      <c r="AE155">
        <f ca="1">IF(AND(ISNUMBER($AE$350),$B$185=1),$AE$350,HLOOKUP(INDIRECT(ADDRESS(2,COLUMN())),OFFSET($BN$2,0,0,ROW()-1,60),ROW()-1,FALSE))</f>
        <v>294</v>
      </c>
      <c r="AF155">
        <f ca="1">IF(AND(ISNUMBER($AF$350),$B$185=1),$AF$350,HLOOKUP(INDIRECT(ADDRESS(2,COLUMN())),OFFSET($BN$2,0,0,ROW()-1,60),ROW()-1,FALSE))</f>
        <v>263</v>
      </c>
      <c r="AG155">
        <f ca="1">IF(AND(ISNUMBER($AG$350),$B$185=1),$AG$350,HLOOKUP(INDIRECT(ADDRESS(2,COLUMN())),OFFSET($BN$2,0,0,ROW()-1,60),ROW()-1,FALSE))</f>
        <v>238</v>
      </c>
      <c r="AH155">
        <f ca="1">IF(AND(ISNUMBER($AH$350),$B$185=1),$AH$350,HLOOKUP(INDIRECT(ADDRESS(2,COLUMN())),OFFSET($BN$2,0,0,ROW()-1,60),ROW()-1,FALSE))</f>
        <v>240</v>
      </c>
      <c r="AI155">
        <f ca="1">IF(AND(ISNUMBER($AI$350),$B$185=1),$AI$350,HLOOKUP(INDIRECT(ADDRESS(2,COLUMN())),OFFSET($BN$2,0,0,ROW()-1,60),ROW()-1,FALSE))</f>
        <v>228</v>
      </c>
      <c r="AJ155">
        <f ca="1">IF(AND(ISNUMBER($AJ$350),$B$185=1),$AJ$350,HLOOKUP(INDIRECT(ADDRESS(2,COLUMN())),OFFSET($BN$2,0,0,ROW()-1,60),ROW()-1,FALSE))</f>
        <v>242</v>
      </c>
      <c r="AK155">
        <f ca="1">IF(AND(ISNUMBER($AK$350),$B$185=1),$AK$350,HLOOKUP(INDIRECT(ADDRESS(2,COLUMN())),OFFSET($BN$2,0,0,ROW()-1,60),ROW()-1,FALSE))</f>
        <v>223</v>
      </c>
      <c r="AL155">
        <f ca="1">IF(AND(ISNUMBER($AL$350),$B$185=1),$AL$350,HLOOKUP(INDIRECT(ADDRESS(2,COLUMN())),OFFSET($BN$2,0,0,ROW()-1,60),ROW()-1,FALSE))</f>
        <v>226</v>
      </c>
      <c r="AM155">
        <f ca="1">IF(AND(ISNUMBER($AM$350),$B$185=1),$AM$350,HLOOKUP(INDIRECT(ADDRESS(2,COLUMN())),OFFSET($BN$2,0,0,ROW()-1,60),ROW()-1,FALSE))</f>
        <v>226</v>
      </c>
      <c r="AN155">
        <f ca="1">IF(AND(ISNUMBER($AN$350),$B$185=1),$AN$350,HLOOKUP(INDIRECT(ADDRESS(2,COLUMN())),OFFSET($BN$2,0,0,ROW()-1,60),ROW()-1,FALSE))</f>
        <v>229</v>
      </c>
      <c r="AO155">
        <f ca="1">IF(AND(ISNUMBER($AO$350),$B$185=1),$AO$350,HLOOKUP(INDIRECT(ADDRESS(2,COLUMN())),OFFSET($BN$2,0,0,ROW()-1,60),ROW()-1,FALSE))</f>
        <v>231</v>
      </c>
      <c r="AP155">
        <f ca="1">IF(AND(ISNUMBER($AP$350),$B$185=1),$AP$350,HLOOKUP(INDIRECT(ADDRESS(2,COLUMN())),OFFSET($BN$2,0,0,ROW()-1,60),ROW()-1,FALSE))</f>
        <v>624</v>
      </c>
      <c r="AQ155">
        <f ca="1">IF(AND(ISNUMBER($AQ$350),$B$185=1),$AQ$350,HLOOKUP(INDIRECT(ADDRESS(2,COLUMN())),OFFSET($BN$2,0,0,ROW()-1,60),ROW()-1,FALSE))</f>
        <v>146</v>
      </c>
      <c r="AR155">
        <f ca="1">IF(AND(ISNUMBER($AR$350),$B$185=1),$AR$350,HLOOKUP(INDIRECT(ADDRESS(2,COLUMN())),OFFSET($BN$2,0,0,ROW()-1,60),ROW()-1,FALSE))</f>
        <v>174</v>
      </c>
      <c r="AS155">
        <f ca="1">IF(AND(ISNUMBER($AS$350),$B$185=1),$AS$350,HLOOKUP(INDIRECT(ADDRESS(2,COLUMN())),OFFSET($BN$2,0,0,ROW()-1,60),ROW()-1,FALSE))</f>
        <v>279</v>
      </c>
      <c r="AT155">
        <f ca="1">IF(AND(ISNUMBER($AT$350),$B$185=1),$AT$350,HLOOKUP(INDIRECT(ADDRESS(2,COLUMN())),OFFSET($BN$2,0,0,ROW()-1,60),ROW()-1,FALSE))</f>
        <v>1100</v>
      </c>
      <c r="AU155">
        <f ca="1">IF(AND(ISNUMBER($AU$350),$B$185=1),$AU$350,HLOOKUP(INDIRECT(ADDRESS(2,COLUMN())),OFFSET($BN$2,0,0,ROW()-1,60),ROW()-1,FALSE))</f>
        <v>274</v>
      </c>
      <c r="AV155">
        <f ca="1">IF(AND(ISNUMBER($AV$350),$B$185=1),$AV$350,HLOOKUP(INDIRECT(ADDRESS(2,COLUMN())),OFFSET($BN$2,0,0,ROW()-1,60),ROW()-1,FALSE))</f>
        <v>277</v>
      </c>
      <c r="AW155">
        <f ca="1">IF(AND(ISNUMBER($AW$350),$B$185=1),$AW$350,HLOOKUP(INDIRECT(ADDRESS(2,COLUMN())),OFFSET($BN$2,0,0,ROW()-1,60),ROW()-1,FALSE))</f>
        <v>280</v>
      </c>
      <c r="AX155">
        <f ca="1">IF(AND(ISNUMBER($AX$350),$B$185=1),$AX$350,HLOOKUP(INDIRECT(ADDRESS(2,COLUMN())),OFFSET($BN$2,0,0,ROW()-1,60),ROW()-1,FALSE))</f>
        <v>1185</v>
      </c>
      <c r="AY155">
        <f ca="1">IF(AND(ISNUMBER($AY$350),$B$185=1),$AY$350,HLOOKUP(INDIRECT(ADDRESS(2,COLUMN())),OFFSET($BN$2,0,0,ROW()-1,60),ROW()-1,FALSE))</f>
        <v>284</v>
      </c>
      <c r="AZ155">
        <f ca="1">IF(AND(ISNUMBER($AZ$350),$B$185=1),$AZ$350,HLOOKUP(INDIRECT(ADDRESS(2,COLUMN())),OFFSET($BN$2,0,0,ROW()-1,60),ROW()-1,FALSE))</f>
        <v>293</v>
      </c>
      <c r="BA155">
        <f ca="1">IF(AND(ISNUMBER($BA$350),$B$185=1),$BA$350,HLOOKUP(INDIRECT(ADDRESS(2,COLUMN())),OFFSET($BN$2,0,0,ROW()-1,60),ROW()-1,FALSE))</f>
        <v>334</v>
      </c>
      <c r="BB155">
        <f ca="1">IF(AND(ISNUMBER($BB$350),$B$185=1),$BB$350,HLOOKUP(INDIRECT(ADDRESS(2,COLUMN())),OFFSET($BN$2,0,0,ROW()-1,60),ROW()-1,FALSE))</f>
        <v>325</v>
      </c>
      <c r="BC155">
        <f ca="1">IF(AND(ISNUMBER($BC$350),$B$185=1),$BC$350,HLOOKUP(INDIRECT(ADDRESS(2,COLUMN())),OFFSET($BN$2,0,0,ROW()-1,60),ROW()-1,FALSE))</f>
        <v>324</v>
      </c>
      <c r="BD155">
        <f ca="1">IF(AND(ISNUMBER($BD$350),$B$185=1),$BD$350,HLOOKUP(INDIRECT(ADDRESS(2,COLUMN())),OFFSET($BN$2,0,0,ROW()-1,60),ROW()-1,FALSE))</f>
        <v>319</v>
      </c>
      <c r="BE155">
        <f ca="1">IF(AND(ISNUMBER($BE$350),$B$185=1),$BE$350,HLOOKUP(INDIRECT(ADDRESS(2,COLUMN())),OFFSET($BN$2,0,0,ROW()-1,60),ROW()-1,FALSE))</f>
        <v>319</v>
      </c>
      <c r="BF155">
        <f ca="1">IF(AND(ISNUMBER($BF$350),$B$185=1),$BF$350,HLOOKUP(INDIRECT(ADDRESS(2,COLUMN())),OFFSET($BN$2,0,0,ROW()-1,60),ROW()-1,FALSE))</f>
        <v>286</v>
      </c>
      <c r="BG155">
        <f ca="1">IF(AND(ISNUMBER($BG$350),$B$185=1),$BG$350,HLOOKUP(INDIRECT(ADDRESS(2,COLUMN())),OFFSET($BN$2,0,0,ROW()-1,60),ROW()-1,FALSE))</f>
        <v>301</v>
      </c>
      <c r="BH155">
        <f ca="1">IF(AND(ISNUMBER($BH$350),$B$185=1),$BH$350,HLOOKUP(INDIRECT(ADDRESS(2,COLUMN())),OFFSET($BN$2,0,0,ROW()-1,60),ROW()-1,FALSE))</f>
        <v>304</v>
      </c>
      <c r="BI155">
        <f ca="1">IF(AND(ISNUMBER($BI$350),$B$185=1),$BI$350,HLOOKUP(INDIRECT(ADDRESS(2,COLUMN())),OFFSET($BN$2,0,0,ROW()-1,60),ROW()-1,FALSE))</f>
        <v>328</v>
      </c>
      <c r="BJ155">
        <f ca="1">IF(AND(ISNUMBER($BJ$350),$B$185=1),$BJ$350,HLOOKUP(INDIRECT(ADDRESS(2,COLUMN())),OFFSET($BN$2,0,0,ROW()-1,60),ROW()-1,FALSE))</f>
        <v>337</v>
      </c>
      <c r="BK155">
        <f ca="1">IF(AND(ISNUMBER($BK$350),$B$185=1),$BK$350,HLOOKUP(INDIRECT(ADDRESS(2,COLUMN())),OFFSET($BN$2,0,0,ROW()-1,60),ROW()-1,FALSE))</f>
        <v>335</v>
      </c>
      <c r="BL155">
        <f ca="1">IF(AND(ISNUMBER($BL$350),$B$185=1),$BL$350,HLOOKUP(INDIRECT(ADDRESS(2,COLUMN())),OFFSET($BN$2,0,0,ROW()-1,60),ROW()-1,FALSE))</f>
        <v>315</v>
      </c>
      <c r="BM155" t="str">
        <f ca="1">IF(AND(ISNUMBER($BM$350),$B$185=1),$BM$350,HLOOKUP(INDIRECT(ADDRESS(2,COLUMN())),OFFSET($BN$2,0,0,ROW()-1,60),ROW()-1,FALSE))</f>
        <v/>
      </c>
      <c r="BN155">
        <f>579</f>
        <v>579</v>
      </c>
      <c r="BO155">
        <f>515</f>
        <v>515</v>
      </c>
      <c r="BP155">
        <f>616</f>
        <v>616</v>
      </c>
      <c r="BQ155">
        <f>632</f>
        <v>632</v>
      </c>
      <c r="BR155">
        <f>655</f>
        <v>655</v>
      </c>
      <c r="BS155">
        <f>711</f>
        <v>711</v>
      </c>
      <c r="BT155">
        <f>748</f>
        <v>748</v>
      </c>
      <c r="BU155">
        <f>696</f>
        <v>696</v>
      </c>
      <c r="BV155">
        <f>614</f>
        <v>614</v>
      </c>
      <c r="BW155">
        <f>630</f>
        <v>630</v>
      </c>
      <c r="BX155">
        <f>601</f>
        <v>601</v>
      </c>
      <c r="BY155">
        <f>592</f>
        <v>592</v>
      </c>
      <c r="BZ155">
        <f>610</f>
        <v>610</v>
      </c>
      <c r="CA155">
        <f>620</f>
        <v>620</v>
      </c>
      <c r="CB155">
        <f>623</f>
        <v>623</v>
      </c>
      <c r="CC155">
        <f>639</f>
        <v>639</v>
      </c>
      <c r="CD155">
        <f>653</f>
        <v>653</v>
      </c>
      <c r="CE155">
        <f>585</f>
        <v>585</v>
      </c>
      <c r="CF155">
        <f>592</f>
        <v>592</v>
      </c>
      <c r="CG155">
        <f>545</f>
        <v>545</v>
      </c>
      <c r="CH155">
        <f>454</f>
        <v>454</v>
      </c>
      <c r="CI155">
        <f>446</f>
        <v>446</v>
      </c>
      <c r="CJ155">
        <f>438</f>
        <v>438</v>
      </c>
      <c r="CK155">
        <f>467</f>
        <v>467</v>
      </c>
      <c r="CL155">
        <f>292</f>
        <v>292</v>
      </c>
      <c r="CM155">
        <f>294</f>
        <v>294</v>
      </c>
      <c r="CN155">
        <f>263</f>
        <v>263</v>
      </c>
      <c r="CO155">
        <f>238</f>
        <v>238</v>
      </c>
      <c r="CP155">
        <f>240</f>
        <v>240</v>
      </c>
      <c r="CQ155">
        <f>228</f>
        <v>228</v>
      </c>
      <c r="CR155">
        <f>242</f>
        <v>242</v>
      </c>
      <c r="CS155">
        <f>223</f>
        <v>223</v>
      </c>
      <c r="CT155">
        <f>226</f>
        <v>226</v>
      </c>
      <c r="CU155">
        <f>226</f>
        <v>226</v>
      </c>
      <c r="CV155">
        <f>229</f>
        <v>229</v>
      </c>
      <c r="CW155">
        <f>231</f>
        <v>231</v>
      </c>
      <c r="CX155">
        <f>624</f>
        <v>624</v>
      </c>
      <c r="CY155">
        <f>146</f>
        <v>146</v>
      </c>
      <c r="CZ155">
        <f>174</f>
        <v>174</v>
      </c>
      <c r="DA155">
        <f>279</f>
        <v>279</v>
      </c>
      <c r="DB155">
        <f>1100</f>
        <v>1100</v>
      </c>
      <c r="DC155">
        <f>274</f>
        <v>274</v>
      </c>
      <c r="DD155">
        <f>277</f>
        <v>277</v>
      </c>
      <c r="DE155">
        <f>280</f>
        <v>280</v>
      </c>
      <c r="DF155">
        <f>1185</f>
        <v>1185</v>
      </c>
      <c r="DG155">
        <f>284</f>
        <v>284</v>
      </c>
      <c r="DH155">
        <f>293</f>
        <v>293</v>
      </c>
      <c r="DI155">
        <f>334</f>
        <v>334</v>
      </c>
      <c r="DJ155">
        <f>325</f>
        <v>325</v>
      </c>
      <c r="DK155">
        <f>324</f>
        <v>324</v>
      </c>
      <c r="DL155">
        <f>319</f>
        <v>319</v>
      </c>
      <c r="DM155">
        <f>319</f>
        <v>319</v>
      </c>
      <c r="DN155">
        <f>286</f>
        <v>286</v>
      </c>
      <c r="DO155">
        <f>301</f>
        <v>301</v>
      </c>
      <c r="DP155">
        <f>304</f>
        <v>304</v>
      </c>
      <c r="DQ155">
        <f>328</f>
        <v>328</v>
      </c>
      <c r="DR155">
        <f>337</f>
        <v>337</v>
      </c>
      <c r="DS155">
        <f>335</f>
        <v>335</v>
      </c>
      <c r="DT155">
        <f>315</f>
        <v>315</v>
      </c>
      <c r="DU155" t="str">
        <f>""</f>
        <v/>
      </c>
    </row>
    <row r="156" spans="1:125">
      <c r="A156" t="str">
        <f>"    First Citizens BancShares Inc/"</f>
        <v xml:space="preserve">    First Citizens BancShares Inc/</v>
      </c>
      <c r="B156" t="str">
        <f>"FCNCA US Equity"</f>
        <v>FCNCA US Equity</v>
      </c>
      <c r="C156" t="str">
        <f t="shared" si="19"/>
        <v>BS963</v>
      </c>
      <c r="D156" t="str">
        <f t="shared" si="20"/>
        <v>BS_COMML_MTG_SERVICED_OTHERS</v>
      </c>
      <c r="E156" t="str">
        <f t="shared" si="21"/>
        <v>Dynamic</v>
      </c>
      <c r="F156" t="str">
        <f ca="1">IF(AND(ISNUMBER($F$351),$B$185=1),$F$351,HLOOKUP(INDIRECT(ADDRESS(2,COLUMN())),OFFSET($BN$2,0,0,ROW()-1,60),ROW()-1,FALSE))</f>
        <v/>
      </c>
      <c r="G156" t="str">
        <f ca="1">IF(AND(ISNUMBER($G$351),$B$185=1),$G$351,HLOOKUP(INDIRECT(ADDRESS(2,COLUMN())),OFFSET($BN$2,0,0,ROW()-1,60),ROW()-1,FALSE))</f>
        <v/>
      </c>
      <c r="H156" t="str">
        <f ca="1">IF(AND(ISNUMBER($H$351),$B$185=1),$H$351,HLOOKUP(INDIRECT(ADDRESS(2,COLUMN())),OFFSET($BN$2,0,0,ROW()-1,60),ROW()-1,FALSE))</f>
        <v/>
      </c>
      <c r="I156" t="str">
        <f ca="1">IF(AND(ISNUMBER($I$351),$B$185=1),$I$351,HLOOKUP(INDIRECT(ADDRESS(2,COLUMN())),OFFSET($BN$2,0,0,ROW()-1,60),ROW()-1,FALSE))</f>
        <v/>
      </c>
      <c r="J156" t="str">
        <f ca="1">IF(AND(ISNUMBER($J$351),$B$185=1),$J$351,HLOOKUP(INDIRECT(ADDRESS(2,COLUMN())),OFFSET($BN$2,0,0,ROW()-1,60),ROW()-1,FALSE))</f>
        <v/>
      </c>
      <c r="K156" t="str">
        <f ca="1">IF(AND(ISNUMBER($K$351),$B$185=1),$K$351,HLOOKUP(INDIRECT(ADDRESS(2,COLUMN())),OFFSET($BN$2,0,0,ROW()-1,60),ROW()-1,FALSE))</f>
        <v/>
      </c>
      <c r="L156" t="str">
        <f ca="1">IF(AND(ISNUMBER($L$351),$B$185=1),$L$351,HLOOKUP(INDIRECT(ADDRESS(2,COLUMN())),OFFSET($BN$2,0,0,ROW()-1,60),ROW()-1,FALSE))</f>
        <v/>
      </c>
      <c r="M156" t="str">
        <f ca="1">IF(AND(ISNUMBER($M$351),$B$185=1),$M$351,HLOOKUP(INDIRECT(ADDRESS(2,COLUMN())),OFFSET($BN$2,0,0,ROW()-1,60),ROW()-1,FALSE))</f>
        <v/>
      </c>
      <c r="N156" t="str">
        <f ca="1">IF(AND(ISNUMBER($N$351),$B$185=1),$N$351,HLOOKUP(INDIRECT(ADDRESS(2,COLUMN())),OFFSET($BN$2,0,0,ROW()-1,60),ROW()-1,FALSE))</f>
        <v/>
      </c>
      <c r="O156" t="str">
        <f ca="1">IF(AND(ISNUMBER($O$351),$B$185=1),$O$351,HLOOKUP(INDIRECT(ADDRESS(2,COLUMN())),OFFSET($BN$2,0,0,ROW()-1,60),ROW()-1,FALSE))</f>
        <v/>
      </c>
      <c r="P156" t="str">
        <f ca="1">IF(AND(ISNUMBER($P$351),$B$185=1),$P$351,HLOOKUP(INDIRECT(ADDRESS(2,COLUMN())),OFFSET($BN$2,0,0,ROW()-1,60),ROW()-1,FALSE))</f>
        <v/>
      </c>
      <c r="Q156" t="str">
        <f ca="1">IF(AND(ISNUMBER($Q$351),$B$185=1),$Q$351,HLOOKUP(INDIRECT(ADDRESS(2,COLUMN())),OFFSET($BN$2,0,0,ROW()-1,60),ROW()-1,FALSE))</f>
        <v/>
      </c>
      <c r="R156" t="str">
        <f ca="1">IF(AND(ISNUMBER($R$351),$B$185=1),$R$351,HLOOKUP(INDIRECT(ADDRESS(2,COLUMN())),OFFSET($BN$2,0,0,ROW()-1,60),ROW()-1,FALSE))</f>
        <v/>
      </c>
      <c r="S156" t="str">
        <f ca="1">IF(AND(ISNUMBER($S$351),$B$185=1),$S$351,HLOOKUP(INDIRECT(ADDRESS(2,COLUMN())),OFFSET($BN$2,0,0,ROW()-1,60),ROW()-1,FALSE))</f>
        <v/>
      </c>
      <c r="T156" t="str">
        <f ca="1">IF(AND(ISNUMBER($T$351),$B$185=1),$T$351,HLOOKUP(INDIRECT(ADDRESS(2,COLUMN())),OFFSET($BN$2,0,0,ROW()-1,60),ROW()-1,FALSE))</f>
        <v/>
      </c>
      <c r="U156" t="str">
        <f ca="1">IF(AND(ISNUMBER($U$351),$B$185=1),$U$351,HLOOKUP(INDIRECT(ADDRESS(2,COLUMN())),OFFSET($BN$2,0,0,ROW()-1,60),ROW()-1,FALSE))</f>
        <v/>
      </c>
      <c r="V156" t="str">
        <f ca="1">IF(AND(ISNUMBER($V$351),$B$185=1),$V$351,HLOOKUP(INDIRECT(ADDRESS(2,COLUMN())),OFFSET($BN$2,0,0,ROW()-1,60),ROW()-1,FALSE))</f>
        <v/>
      </c>
      <c r="W156" t="str">
        <f ca="1">IF(AND(ISNUMBER($W$351),$B$185=1),$W$351,HLOOKUP(INDIRECT(ADDRESS(2,COLUMN())),OFFSET($BN$2,0,0,ROW()-1,60),ROW()-1,FALSE))</f>
        <v/>
      </c>
      <c r="X156" t="str">
        <f ca="1">IF(AND(ISNUMBER($X$351),$B$185=1),$X$351,HLOOKUP(INDIRECT(ADDRESS(2,COLUMN())),OFFSET($BN$2,0,0,ROW()-1,60),ROW()-1,FALSE))</f>
        <v/>
      </c>
      <c r="Y156" t="str">
        <f ca="1">IF(AND(ISNUMBER($Y$351),$B$185=1),$Y$351,HLOOKUP(INDIRECT(ADDRESS(2,COLUMN())),OFFSET($BN$2,0,0,ROW()-1,60),ROW()-1,FALSE))</f>
        <v/>
      </c>
      <c r="Z156" t="str">
        <f ca="1">IF(AND(ISNUMBER($Z$351),$B$185=1),$Z$351,HLOOKUP(INDIRECT(ADDRESS(2,COLUMN())),OFFSET($BN$2,0,0,ROW()-1,60),ROW()-1,FALSE))</f>
        <v/>
      </c>
      <c r="AA156" t="str">
        <f ca="1">IF(AND(ISNUMBER($AA$351),$B$185=1),$AA$351,HLOOKUP(INDIRECT(ADDRESS(2,COLUMN())),OFFSET($BN$2,0,0,ROW()-1,60),ROW()-1,FALSE))</f>
        <v/>
      </c>
      <c r="AB156" t="str">
        <f ca="1">IF(AND(ISNUMBER($AB$351),$B$185=1),$AB$351,HLOOKUP(INDIRECT(ADDRESS(2,COLUMN())),OFFSET($BN$2,0,0,ROW()-1,60),ROW()-1,FALSE))</f>
        <v/>
      </c>
      <c r="AC156" t="str">
        <f ca="1">IF(AND(ISNUMBER($AC$351),$B$185=1),$AC$351,HLOOKUP(INDIRECT(ADDRESS(2,COLUMN())),OFFSET($BN$2,0,0,ROW()-1,60),ROW()-1,FALSE))</f>
        <v/>
      </c>
      <c r="AD156" t="str">
        <f ca="1">IF(AND(ISNUMBER($AD$351),$B$185=1),$AD$351,HLOOKUP(INDIRECT(ADDRESS(2,COLUMN())),OFFSET($BN$2,0,0,ROW()-1,60),ROW()-1,FALSE))</f>
        <v/>
      </c>
      <c r="AE156" t="str">
        <f ca="1">IF(AND(ISNUMBER($AE$351),$B$185=1),$AE$351,HLOOKUP(INDIRECT(ADDRESS(2,COLUMN())),OFFSET($BN$2,0,0,ROW()-1,60),ROW()-1,FALSE))</f>
        <v/>
      </c>
      <c r="AF156" t="str">
        <f ca="1">IF(AND(ISNUMBER($AF$351),$B$185=1),$AF$351,HLOOKUP(INDIRECT(ADDRESS(2,COLUMN())),OFFSET($BN$2,0,0,ROW()-1,60),ROW()-1,FALSE))</f>
        <v/>
      </c>
      <c r="AG156" t="str">
        <f ca="1">IF(AND(ISNUMBER($AG$351),$B$185=1),$AG$351,HLOOKUP(INDIRECT(ADDRESS(2,COLUMN())),OFFSET($BN$2,0,0,ROW()-1,60),ROW()-1,FALSE))</f>
        <v/>
      </c>
      <c r="AH156" t="str">
        <f ca="1">IF(AND(ISNUMBER($AH$351),$B$185=1),$AH$351,HLOOKUP(INDIRECT(ADDRESS(2,COLUMN())),OFFSET($BN$2,0,0,ROW()-1,60),ROW()-1,FALSE))</f>
        <v/>
      </c>
      <c r="AI156" t="str">
        <f ca="1">IF(AND(ISNUMBER($AI$351),$B$185=1),$AI$351,HLOOKUP(INDIRECT(ADDRESS(2,COLUMN())),OFFSET($BN$2,0,0,ROW()-1,60),ROW()-1,FALSE))</f>
        <v/>
      </c>
      <c r="AJ156" t="str">
        <f ca="1">IF(AND(ISNUMBER($AJ$351),$B$185=1),$AJ$351,HLOOKUP(INDIRECT(ADDRESS(2,COLUMN())),OFFSET($BN$2,0,0,ROW()-1,60),ROW()-1,FALSE))</f>
        <v/>
      </c>
      <c r="AK156" t="str">
        <f ca="1">IF(AND(ISNUMBER($AK$351),$B$185=1),$AK$351,HLOOKUP(INDIRECT(ADDRESS(2,COLUMN())),OFFSET($BN$2,0,0,ROW()-1,60),ROW()-1,FALSE))</f>
        <v/>
      </c>
      <c r="AL156" t="str">
        <f ca="1">IF(AND(ISNUMBER($AL$351),$B$185=1),$AL$351,HLOOKUP(INDIRECT(ADDRESS(2,COLUMN())),OFFSET($BN$2,0,0,ROW()-1,60),ROW()-1,FALSE))</f>
        <v/>
      </c>
      <c r="AM156" t="str">
        <f ca="1">IF(AND(ISNUMBER($AM$351),$B$185=1),$AM$351,HLOOKUP(INDIRECT(ADDRESS(2,COLUMN())),OFFSET($BN$2,0,0,ROW()-1,60),ROW()-1,FALSE))</f>
        <v/>
      </c>
      <c r="AN156" t="str">
        <f ca="1">IF(AND(ISNUMBER($AN$351),$B$185=1),$AN$351,HLOOKUP(INDIRECT(ADDRESS(2,COLUMN())),OFFSET($BN$2,0,0,ROW()-1,60),ROW()-1,FALSE))</f>
        <v/>
      </c>
      <c r="AO156" t="str">
        <f ca="1">IF(AND(ISNUMBER($AO$351),$B$185=1),$AO$351,HLOOKUP(INDIRECT(ADDRESS(2,COLUMN())),OFFSET($BN$2,0,0,ROW()-1,60),ROW()-1,FALSE))</f>
        <v/>
      </c>
      <c r="AP156" t="str">
        <f ca="1">IF(AND(ISNUMBER($AP$351),$B$185=1),$AP$351,HLOOKUP(INDIRECT(ADDRESS(2,COLUMN())),OFFSET($BN$2,0,0,ROW()-1,60),ROW()-1,FALSE))</f>
        <v/>
      </c>
      <c r="AQ156" t="str">
        <f ca="1">IF(AND(ISNUMBER($AQ$351),$B$185=1),$AQ$351,HLOOKUP(INDIRECT(ADDRESS(2,COLUMN())),OFFSET($BN$2,0,0,ROW()-1,60),ROW()-1,FALSE))</f>
        <v/>
      </c>
      <c r="AR156" t="str">
        <f ca="1">IF(AND(ISNUMBER($AR$351),$B$185=1),$AR$351,HLOOKUP(INDIRECT(ADDRESS(2,COLUMN())),OFFSET($BN$2,0,0,ROW()-1,60),ROW()-1,FALSE))</f>
        <v/>
      </c>
      <c r="AS156" t="str">
        <f ca="1">IF(AND(ISNUMBER($AS$351),$B$185=1),$AS$351,HLOOKUP(INDIRECT(ADDRESS(2,COLUMN())),OFFSET($BN$2,0,0,ROW()-1,60),ROW()-1,FALSE))</f>
        <v/>
      </c>
      <c r="AT156" t="str">
        <f ca="1">IF(AND(ISNUMBER($AT$351),$B$185=1),$AT$351,HLOOKUP(INDIRECT(ADDRESS(2,COLUMN())),OFFSET($BN$2,0,0,ROW()-1,60),ROW()-1,FALSE))</f>
        <v/>
      </c>
      <c r="AU156" t="str">
        <f ca="1">IF(AND(ISNUMBER($AU$351),$B$185=1),$AU$351,HLOOKUP(INDIRECT(ADDRESS(2,COLUMN())),OFFSET($BN$2,0,0,ROW()-1,60),ROW()-1,FALSE))</f>
        <v/>
      </c>
      <c r="AV156" t="str">
        <f ca="1">IF(AND(ISNUMBER($AV$351),$B$185=1),$AV$351,HLOOKUP(INDIRECT(ADDRESS(2,COLUMN())),OFFSET($BN$2,0,0,ROW()-1,60),ROW()-1,FALSE))</f>
        <v/>
      </c>
      <c r="AW156" t="str">
        <f ca="1">IF(AND(ISNUMBER($AW$351),$B$185=1),$AW$351,HLOOKUP(INDIRECT(ADDRESS(2,COLUMN())),OFFSET($BN$2,0,0,ROW()-1,60),ROW()-1,FALSE))</f>
        <v/>
      </c>
      <c r="AX156" t="str">
        <f ca="1">IF(AND(ISNUMBER($AX$351),$B$185=1),$AX$351,HLOOKUP(INDIRECT(ADDRESS(2,COLUMN())),OFFSET($BN$2,0,0,ROW()-1,60),ROW()-1,FALSE))</f>
        <v/>
      </c>
      <c r="AY156" t="str">
        <f ca="1">IF(AND(ISNUMBER($AY$351),$B$185=1),$AY$351,HLOOKUP(INDIRECT(ADDRESS(2,COLUMN())),OFFSET($BN$2,0,0,ROW()-1,60),ROW()-1,FALSE))</f>
        <v/>
      </c>
      <c r="AZ156" t="str">
        <f ca="1">IF(AND(ISNUMBER($AZ$351),$B$185=1),$AZ$351,HLOOKUP(INDIRECT(ADDRESS(2,COLUMN())),OFFSET($BN$2,0,0,ROW()-1,60),ROW()-1,FALSE))</f>
        <v/>
      </c>
      <c r="BA156" t="str">
        <f ca="1">IF(AND(ISNUMBER($BA$351),$B$185=1),$BA$351,HLOOKUP(INDIRECT(ADDRESS(2,COLUMN())),OFFSET($BN$2,0,0,ROW()-1,60),ROW()-1,FALSE))</f>
        <v/>
      </c>
      <c r="BB156" t="str">
        <f ca="1">IF(AND(ISNUMBER($BB$351),$B$185=1),$BB$351,HLOOKUP(INDIRECT(ADDRESS(2,COLUMN())),OFFSET($BN$2,0,0,ROW()-1,60),ROW()-1,FALSE))</f>
        <v/>
      </c>
      <c r="BC156" t="str">
        <f ca="1">IF(AND(ISNUMBER($BC$351),$B$185=1),$BC$351,HLOOKUP(INDIRECT(ADDRESS(2,COLUMN())),OFFSET($BN$2,0,0,ROW()-1,60),ROW()-1,FALSE))</f>
        <v/>
      </c>
      <c r="BD156" t="str">
        <f ca="1">IF(AND(ISNUMBER($BD$351),$B$185=1),$BD$351,HLOOKUP(INDIRECT(ADDRESS(2,COLUMN())),OFFSET($BN$2,0,0,ROW()-1,60),ROW()-1,FALSE))</f>
        <v/>
      </c>
      <c r="BE156" t="str">
        <f ca="1">IF(AND(ISNUMBER($BE$351),$B$185=1),$BE$351,HLOOKUP(INDIRECT(ADDRESS(2,COLUMN())),OFFSET($BN$2,0,0,ROW()-1,60),ROW()-1,FALSE))</f>
        <v/>
      </c>
      <c r="BF156" t="str">
        <f ca="1">IF(AND(ISNUMBER($BF$351),$B$185=1),$BF$351,HLOOKUP(INDIRECT(ADDRESS(2,COLUMN())),OFFSET($BN$2,0,0,ROW()-1,60),ROW()-1,FALSE))</f>
        <v/>
      </c>
      <c r="BG156" t="str">
        <f ca="1">IF(AND(ISNUMBER($BG$351),$B$185=1),$BG$351,HLOOKUP(INDIRECT(ADDRESS(2,COLUMN())),OFFSET($BN$2,0,0,ROW()-1,60),ROW()-1,FALSE))</f>
        <v/>
      </c>
      <c r="BH156" t="str">
        <f ca="1">IF(AND(ISNUMBER($BH$351),$B$185=1),$BH$351,HLOOKUP(INDIRECT(ADDRESS(2,COLUMN())),OFFSET($BN$2,0,0,ROW()-1,60),ROW()-1,FALSE))</f>
        <v/>
      </c>
      <c r="BI156" t="str">
        <f ca="1">IF(AND(ISNUMBER($BI$351),$B$185=1),$BI$351,HLOOKUP(INDIRECT(ADDRESS(2,COLUMN())),OFFSET($BN$2,0,0,ROW()-1,60),ROW()-1,FALSE))</f>
        <v/>
      </c>
      <c r="BJ156" t="str">
        <f ca="1">IF(AND(ISNUMBER($BJ$351),$B$185=1),$BJ$351,HLOOKUP(INDIRECT(ADDRESS(2,COLUMN())),OFFSET($BN$2,0,0,ROW()-1,60),ROW()-1,FALSE))</f>
        <v/>
      </c>
      <c r="BK156" t="str">
        <f ca="1">IF(AND(ISNUMBER($BK$351),$B$185=1),$BK$351,HLOOKUP(INDIRECT(ADDRESS(2,COLUMN())),OFFSET($BN$2,0,0,ROW()-1,60),ROW()-1,FALSE))</f>
        <v/>
      </c>
      <c r="BL156" t="str">
        <f ca="1">IF(AND(ISNUMBER($BL$351),$B$185=1),$BL$351,HLOOKUP(INDIRECT(ADDRESS(2,COLUMN())),OFFSET($BN$2,0,0,ROW()-1,60),ROW()-1,FALSE))</f>
        <v/>
      </c>
      <c r="BM156" t="str">
        <f ca="1">IF(AND(ISNUMBER($BM$351),$B$185=1),$BM$351,HLOOKUP(INDIRECT(ADDRESS(2,COLUMN())),OFFSET($BN$2,0,0,ROW()-1,60),ROW()-1,FALSE))</f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>
      <c r="A157" t="str">
        <f>"    Flagstar Financial Inc"</f>
        <v xml:space="preserve">    Flagstar Financial Inc</v>
      </c>
      <c r="B157" t="str">
        <f>"FLG US Equity"</f>
        <v>FLG US Equity</v>
      </c>
      <c r="C157" t="str">
        <f t="shared" si="19"/>
        <v>BS963</v>
      </c>
      <c r="D157" t="str">
        <f t="shared" si="20"/>
        <v>BS_COMML_MTG_SERVICED_OTHERS</v>
      </c>
      <c r="E157" t="str">
        <f t="shared" si="21"/>
        <v>Dynamic</v>
      </c>
      <c r="F157" t="str">
        <f ca="1">IF(AND(ISNUMBER($F$352),$B$185=1),$F$352,HLOOKUP(INDIRECT(ADDRESS(2,COLUMN())),OFFSET($BN$2,0,0,ROW()-1,60),ROW()-1,FALSE))</f>
        <v/>
      </c>
      <c r="G157" t="str">
        <f ca="1">IF(AND(ISNUMBER($G$352),$B$185=1),$G$352,HLOOKUP(INDIRECT(ADDRESS(2,COLUMN())),OFFSET($BN$2,0,0,ROW()-1,60),ROW()-1,FALSE))</f>
        <v/>
      </c>
      <c r="H157" t="str">
        <f ca="1">IF(AND(ISNUMBER($H$352),$B$185=1),$H$352,HLOOKUP(INDIRECT(ADDRESS(2,COLUMN())),OFFSET($BN$2,0,0,ROW()-1,60),ROW()-1,FALSE))</f>
        <v/>
      </c>
      <c r="I157" t="str">
        <f ca="1">IF(AND(ISNUMBER($I$352),$B$185=1),$I$352,HLOOKUP(INDIRECT(ADDRESS(2,COLUMN())),OFFSET($BN$2,0,0,ROW()-1,60),ROW()-1,FALSE))</f>
        <v/>
      </c>
      <c r="J157" t="str">
        <f ca="1">IF(AND(ISNUMBER($J$352),$B$185=1),$J$352,HLOOKUP(INDIRECT(ADDRESS(2,COLUMN())),OFFSET($BN$2,0,0,ROW()-1,60),ROW()-1,FALSE))</f>
        <v/>
      </c>
      <c r="K157" t="str">
        <f ca="1">IF(AND(ISNUMBER($K$352),$B$185=1),$K$352,HLOOKUP(INDIRECT(ADDRESS(2,COLUMN())),OFFSET($BN$2,0,0,ROW()-1,60),ROW()-1,FALSE))</f>
        <v/>
      </c>
      <c r="L157" t="str">
        <f ca="1">IF(AND(ISNUMBER($L$352),$B$185=1),$L$352,HLOOKUP(INDIRECT(ADDRESS(2,COLUMN())),OFFSET($BN$2,0,0,ROW()-1,60),ROW()-1,FALSE))</f>
        <v/>
      </c>
      <c r="M157" t="str">
        <f ca="1">IF(AND(ISNUMBER($M$352),$B$185=1),$M$352,HLOOKUP(INDIRECT(ADDRESS(2,COLUMN())),OFFSET($BN$2,0,0,ROW()-1,60),ROW()-1,FALSE))</f>
        <v/>
      </c>
      <c r="N157" t="str">
        <f ca="1">IF(AND(ISNUMBER($N$352),$B$185=1),$N$352,HLOOKUP(INDIRECT(ADDRESS(2,COLUMN())),OFFSET($BN$2,0,0,ROW()-1,60),ROW()-1,FALSE))</f>
        <v/>
      </c>
      <c r="O157" t="str">
        <f ca="1">IF(AND(ISNUMBER($O$352),$B$185=1),$O$352,HLOOKUP(INDIRECT(ADDRESS(2,COLUMN())),OFFSET($BN$2,0,0,ROW()-1,60),ROW()-1,FALSE))</f>
        <v/>
      </c>
      <c r="P157" t="str">
        <f ca="1">IF(AND(ISNUMBER($P$352),$B$185=1),$P$352,HLOOKUP(INDIRECT(ADDRESS(2,COLUMN())),OFFSET($BN$2,0,0,ROW()-1,60),ROW()-1,FALSE))</f>
        <v/>
      </c>
      <c r="Q157" t="str">
        <f ca="1">IF(AND(ISNUMBER($Q$352),$B$185=1),$Q$352,HLOOKUP(INDIRECT(ADDRESS(2,COLUMN())),OFFSET($BN$2,0,0,ROW()-1,60),ROW()-1,FALSE))</f>
        <v/>
      </c>
      <c r="R157" t="str">
        <f ca="1">IF(AND(ISNUMBER($R$352),$B$185=1),$R$352,HLOOKUP(INDIRECT(ADDRESS(2,COLUMN())),OFFSET($BN$2,0,0,ROW()-1,60),ROW()-1,FALSE))</f>
        <v/>
      </c>
      <c r="S157" t="str">
        <f ca="1">IF(AND(ISNUMBER($S$352),$B$185=1),$S$352,HLOOKUP(INDIRECT(ADDRESS(2,COLUMN())),OFFSET($BN$2,0,0,ROW()-1,60),ROW()-1,FALSE))</f>
        <v/>
      </c>
      <c r="T157" t="str">
        <f ca="1">IF(AND(ISNUMBER($T$352),$B$185=1),$T$352,HLOOKUP(INDIRECT(ADDRESS(2,COLUMN())),OFFSET($BN$2,0,0,ROW()-1,60),ROW()-1,FALSE))</f>
        <v/>
      </c>
      <c r="U157" t="str">
        <f ca="1">IF(AND(ISNUMBER($U$352),$B$185=1),$U$352,HLOOKUP(INDIRECT(ADDRESS(2,COLUMN())),OFFSET($BN$2,0,0,ROW()-1,60),ROW()-1,FALSE))</f>
        <v/>
      </c>
      <c r="V157" t="str">
        <f ca="1">IF(AND(ISNUMBER($V$352),$B$185=1),$V$352,HLOOKUP(INDIRECT(ADDRESS(2,COLUMN())),OFFSET($BN$2,0,0,ROW()-1,60),ROW()-1,FALSE))</f>
        <v/>
      </c>
      <c r="W157" t="str">
        <f ca="1">IF(AND(ISNUMBER($W$352),$B$185=1),$W$352,HLOOKUP(INDIRECT(ADDRESS(2,COLUMN())),OFFSET($BN$2,0,0,ROW()-1,60),ROW()-1,FALSE))</f>
        <v/>
      </c>
      <c r="X157" t="str">
        <f ca="1">IF(AND(ISNUMBER($X$352),$B$185=1),$X$352,HLOOKUP(INDIRECT(ADDRESS(2,COLUMN())),OFFSET($BN$2,0,0,ROW()-1,60),ROW()-1,FALSE))</f>
        <v/>
      </c>
      <c r="Y157" t="str">
        <f ca="1">IF(AND(ISNUMBER($Y$352),$B$185=1),$Y$352,HLOOKUP(INDIRECT(ADDRESS(2,COLUMN())),OFFSET($BN$2,0,0,ROW()-1,60),ROW()-1,FALSE))</f>
        <v/>
      </c>
      <c r="Z157" t="str">
        <f ca="1">IF(AND(ISNUMBER($Z$352),$B$185=1),$Z$352,HLOOKUP(INDIRECT(ADDRESS(2,COLUMN())),OFFSET($BN$2,0,0,ROW()-1,60),ROW()-1,FALSE))</f>
        <v/>
      </c>
      <c r="AA157" t="str">
        <f ca="1">IF(AND(ISNUMBER($AA$352),$B$185=1),$AA$352,HLOOKUP(INDIRECT(ADDRESS(2,COLUMN())),OFFSET($BN$2,0,0,ROW()-1,60),ROW()-1,FALSE))</f>
        <v/>
      </c>
      <c r="AB157" t="str">
        <f ca="1">IF(AND(ISNUMBER($AB$352),$B$185=1),$AB$352,HLOOKUP(INDIRECT(ADDRESS(2,COLUMN())),OFFSET($BN$2,0,0,ROW()-1,60),ROW()-1,FALSE))</f>
        <v/>
      </c>
      <c r="AC157" t="str">
        <f ca="1">IF(AND(ISNUMBER($AC$352),$B$185=1),$AC$352,HLOOKUP(INDIRECT(ADDRESS(2,COLUMN())),OFFSET($BN$2,0,0,ROW()-1,60),ROW()-1,FALSE))</f>
        <v/>
      </c>
      <c r="AD157" t="str">
        <f ca="1">IF(AND(ISNUMBER($AD$352),$B$185=1),$AD$352,HLOOKUP(INDIRECT(ADDRESS(2,COLUMN())),OFFSET($BN$2,0,0,ROW()-1,60),ROW()-1,FALSE))</f>
        <v/>
      </c>
      <c r="AE157" t="str">
        <f ca="1">IF(AND(ISNUMBER($AE$352),$B$185=1),$AE$352,HLOOKUP(INDIRECT(ADDRESS(2,COLUMN())),OFFSET($BN$2,0,0,ROW()-1,60),ROW()-1,FALSE))</f>
        <v/>
      </c>
      <c r="AF157" t="str">
        <f ca="1">IF(AND(ISNUMBER($AF$352),$B$185=1),$AF$352,HLOOKUP(INDIRECT(ADDRESS(2,COLUMN())),OFFSET($BN$2,0,0,ROW()-1,60),ROW()-1,FALSE))</f>
        <v/>
      </c>
      <c r="AG157" t="str">
        <f ca="1">IF(AND(ISNUMBER($AG$352),$B$185=1),$AG$352,HLOOKUP(INDIRECT(ADDRESS(2,COLUMN())),OFFSET($BN$2,0,0,ROW()-1,60),ROW()-1,FALSE))</f>
        <v/>
      </c>
      <c r="AH157" t="str">
        <f ca="1">IF(AND(ISNUMBER($AH$352),$B$185=1),$AH$352,HLOOKUP(INDIRECT(ADDRESS(2,COLUMN())),OFFSET($BN$2,0,0,ROW()-1,60),ROW()-1,FALSE))</f>
        <v/>
      </c>
      <c r="AI157" t="str">
        <f ca="1">IF(AND(ISNUMBER($AI$352),$B$185=1),$AI$352,HLOOKUP(INDIRECT(ADDRESS(2,COLUMN())),OFFSET($BN$2,0,0,ROW()-1,60),ROW()-1,FALSE))</f>
        <v/>
      </c>
      <c r="AJ157" t="str">
        <f ca="1">IF(AND(ISNUMBER($AJ$352),$B$185=1),$AJ$352,HLOOKUP(INDIRECT(ADDRESS(2,COLUMN())),OFFSET($BN$2,0,0,ROW()-1,60),ROW()-1,FALSE))</f>
        <v/>
      </c>
      <c r="AK157" t="str">
        <f ca="1">IF(AND(ISNUMBER($AK$352),$B$185=1),$AK$352,HLOOKUP(INDIRECT(ADDRESS(2,COLUMN())),OFFSET($BN$2,0,0,ROW()-1,60),ROW()-1,FALSE))</f>
        <v/>
      </c>
      <c r="AL157" t="str">
        <f ca="1">IF(AND(ISNUMBER($AL$352),$B$185=1),$AL$352,HLOOKUP(INDIRECT(ADDRESS(2,COLUMN())),OFFSET($BN$2,0,0,ROW()-1,60),ROW()-1,FALSE))</f>
        <v/>
      </c>
      <c r="AM157" t="str">
        <f ca="1">IF(AND(ISNUMBER($AM$352),$B$185=1),$AM$352,HLOOKUP(INDIRECT(ADDRESS(2,COLUMN())),OFFSET($BN$2,0,0,ROW()-1,60),ROW()-1,FALSE))</f>
        <v/>
      </c>
      <c r="AN157" t="str">
        <f ca="1">IF(AND(ISNUMBER($AN$352),$B$185=1),$AN$352,HLOOKUP(INDIRECT(ADDRESS(2,COLUMN())),OFFSET($BN$2,0,0,ROW()-1,60),ROW()-1,FALSE))</f>
        <v/>
      </c>
      <c r="AO157" t="str">
        <f ca="1">IF(AND(ISNUMBER($AO$352),$B$185=1),$AO$352,HLOOKUP(INDIRECT(ADDRESS(2,COLUMN())),OFFSET($BN$2,0,0,ROW()-1,60),ROW()-1,FALSE))</f>
        <v/>
      </c>
      <c r="AP157" t="str">
        <f ca="1">IF(AND(ISNUMBER($AP$352),$B$185=1),$AP$352,HLOOKUP(INDIRECT(ADDRESS(2,COLUMN())),OFFSET($BN$2,0,0,ROW()-1,60),ROW()-1,FALSE))</f>
        <v/>
      </c>
      <c r="AQ157" t="str">
        <f ca="1">IF(AND(ISNUMBER($AQ$352),$B$185=1),$AQ$352,HLOOKUP(INDIRECT(ADDRESS(2,COLUMN())),OFFSET($BN$2,0,0,ROW()-1,60),ROW()-1,FALSE))</f>
        <v/>
      </c>
      <c r="AR157" t="str">
        <f ca="1">IF(AND(ISNUMBER($AR$352),$B$185=1),$AR$352,HLOOKUP(INDIRECT(ADDRESS(2,COLUMN())),OFFSET($BN$2,0,0,ROW()-1,60),ROW()-1,FALSE))</f>
        <v/>
      </c>
      <c r="AS157" t="str">
        <f ca="1">IF(AND(ISNUMBER($AS$352),$B$185=1),$AS$352,HLOOKUP(INDIRECT(ADDRESS(2,COLUMN())),OFFSET($BN$2,0,0,ROW()-1,60),ROW()-1,FALSE))</f>
        <v/>
      </c>
      <c r="AT157" t="str">
        <f ca="1">IF(AND(ISNUMBER($AT$352),$B$185=1),$AT$352,HLOOKUP(INDIRECT(ADDRESS(2,COLUMN())),OFFSET($BN$2,0,0,ROW()-1,60),ROW()-1,FALSE))</f>
        <v/>
      </c>
      <c r="AU157" t="str">
        <f ca="1">IF(AND(ISNUMBER($AU$352),$B$185=1),$AU$352,HLOOKUP(INDIRECT(ADDRESS(2,COLUMN())),OFFSET($BN$2,0,0,ROW()-1,60),ROW()-1,FALSE))</f>
        <v/>
      </c>
      <c r="AV157" t="str">
        <f ca="1">IF(AND(ISNUMBER($AV$352),$B$185=1),$AV$352,HLOOKUP(INDIRECT(ADDRESS(2,COLUMN())),OFFSET($BN$2,0,0,ROW()-1,60),ROW()-1,FALSE))</f>
        <v/>
      </c>
      <c r="AW157" t="str">
        <f ca="1">IF(AND(ISNUMBER($AW$352),$B$185=1),$AW$352,HLOOKUP(INDIRECT(ADDRESS(2,COLUMN())),OFFSET($BN$2,0,0,ROW()-1,60),ROW()-1,FALSE))</f>
        <v/>
      </c>
      <c r="AX157" t="str">
        <f ca="1">IF(AND(ISNUMBER($AX$352),$B$185=1),$AX$352,HLOOKUP(INDIRECT(ADDRESS(2,COLUMN())),OFFSET($BN$2,0,0,ROW()-1,60),ROW()-1,FALSE))</f>
        <v/>
      </c>
      <c r="AY157" t="str">
        <f ca="1">IF(AND(ISNUMBER($AY$352),$B$185=1),$AY$352,HLOOKUP(INDIRECT(ADDRESS(2,COLUMN())),OFFSET($BN$2,0,0,ROW()-1,60),ROW()-1,FALSE))</f>
        <v/>
      </c>
      <c r="AZ157" t="str">
        <f ca="1">IF(AND(ISNUMBER($AZ$352),$B$185=1),$AZ$352,HLOOKUP(INDIRECT(ADDRESS(2,COLUMN())),OFFSET($BN$2,0,0,ROW()-1,60),ROW()-1,FALSE))</f>
        <v/>
      </c>
      <c r="BA157" t="str">
        <f ca="1">IF(AND(ISNUMBER($BA$352),$B$185=1),$BA$352,HLOOKUP(INDIRECT(ADDRESS(2,COLUMN())),OFFSET($BN$2,0,0,ROW()-1,60),ROW()-1,FALSE))</f>
        <v/>
      </c>
      <c r="BB157" t="str">
        <f ca="1">IF(AND(ISNUMBER($BB$352),$B$185=1),$BB$352,HLOOKUP(INDIRECT(ADDRESS(2,COLUMN())),OFFSET($BN$2,0,0,ROW()-1,60),ROW()-1,FALSE))</f>
        <v/>
      </c>
      <c r="BC157" t="str">
        <f ca="1">IF(AND(ISNUMBER($BC$352),$B$185=1),$BC$352,HLOOKUP(INDIRECT(ADDRESS(2,COLUMN())),OFFSET($BN$2,0,0,ROW()-1,60),ROW()-1,FALSE))</f>
        <v/>
      </c>
      <c r="BD157" t="str">
        <f ca="1">IF(AND(ISNUMBER($BD$352),$B$185=1),$BD$352,HLOOKUP(INDIRECT(ADDRESS(2,COLUMN())),OFFSET($BN$2,0,0,ROW()-1,60),ROW()-1,FALSE))</f>
        <v/>
      </c>
      <c r="BE157" t="str">
        <f ca="1">IF(AND(ISNUMBER($BE$352),$B$185=1),$BE$352,HLOOKUP(INDIRECT(ADDRESS(2,COLUMN())),OFFSET($BN$2,0,0,ROW()-1,60),ROW()-1,FALSE))</f>
        <v/>
      </c>
      <c r="BF157" t="str">
        <f ca="1">IF(AND(ISNUMBER($BF$352),$B$185=1),$BF$352,HLOOKUP(INDIRECT(ADDRESS(2,COLUMN())),OFFSET($BN$2,0,0,ROW()-1,60),ROW()-1,FALSE))</f>
        <v/>
      </c>
      <c r="BG157" t="str">
        <f ca="1">IF(AND(ISNUMBER($BG$352),$B$185=1),$BG$352,HLOOKUP(INDIRECT(ADDRESS(2,COLUMN())),OFFSET($BN$2,0,0,ROW()-1,60),ROW()-1,FALSE))</f>
        <v/>
      </c>
      <c r="BH157" t="str">
        <f ca="1">IF(AND(ISNUMBER($BH$352),$B$185=1),$BH$352,HLOOKUP(INDIRECT(ADDRESS(2,COLUMN())),OFFSET($BN$2,0,0,ROW()-1,60),ROW()-1,FALSE))</f>
        <v/>
      </c>
      <c r="BI157" t="str">
        <f ca="1">IF(AND(ISNUMBER($BI$352),$B$185=1),$BI$352,HLOOKUP(INDIRECT(ADDRESS(2,COLUMN())),OFFSET($BN$2,0,0,ROW()-1,60),ROW()-1,FALSE))</f>
        <v/>
      </c>
      <c r="BJ157" t="str">
        <f ca="1">IF(AND(ISNUMBER($BJ$352),$B$185=1),$BJ$352,HLOOKUP(INDIRECT(ADDRESS(2,COLUMN())),OFFSET($BN$2,0,0,ROW()-1,60),ROW()-1,FALSE))</f>
        <v/>
      </c>
      <c r="BK157" t="str">
        <f ca="1">IF(AND(ISNUMBER($BK$352),$B$185=1),$BK$352,HLOOKUP(INDIRECT(ADDRESS(2,COLUMN())),OFFSET($BN$2,0,0,ROW()-1,60),ROW()-1,FALSE))</f>
        <v/>
      </c>
      <c r="BL157" t="str">
        <f ca="1">IF(AND(ISNUMBER($BL$352),$B$185=1),$BL$352,HLOOKUP(INDIRECT(ADDRESS(2,COLUMN())),OFFSET($BN$2,0,0,ROW()-1,60),ROW()-1,FALSE))</f>
        <v/>
      </c>
      <c r="BM157" t="str">
        <f ca="1">IF(AND(ISNUMBER($BM$352),$B$185=1),$BM$352,HLOOKUP(INDIRECT(ADDRESS(2,COLUMN())),OFFSET($BN$2,0,0,ROW()-1,60),ROW()-1,FALSE))</f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>
      <c r="A158" t="str">
        <f>"    Huntington Bancshares Inc/OH"</f>
        <v xml:space="preserve">    Huntington Bancshares Inc/OH</v>
      </c>
      <c r="B158" t="str">
        <f>"HBAN US Equity"</f>
        <v>HBAN US Equity</v>
      </c>
      <c r="C158" t="str">
        <f t="shared" si="19"/>
        <v>BS963</v>
      </c>
      <c r="D158" t="str">
        <f t="shared" si="20"/>
        <v>BS_COMML_MTG_SERVICED_OTHERS</v>
      </c>
      <c r="E158" t="str">
        <f t="shared" si="21"/>
        <v>Dynamic</v>
      </c>
      <c r="F158" t="str">
        <f ca="1">IF(AND(ISNUMBER($F$353),$B$185=1),$F$353,HLOOKUP(INDIRECT(ADDRESS(2,COLUMN())),OFFSET($BN$2,0,0,ROW()-1,60),ROW()-1,FALSE))</f>
        <v/>
      </c>
      <c r="G158" t="str">
        <f ca="1">IF(AND(ISNUMBER($G$353),$B$185=1),$G$353,HLOOKUP(INDIRECT(ADDRESS(2,COLUMN())),OFFSET($BN$2,0,0,ROW()-1,60),ROW()-1,FALSE))</f>
        <v/>
      </c>
      <c r="H158" t="str">
        <f ca="1">IF(AND(ISNUMBER($H$353),$B$185=1),$H$353,HLOOKUP(INDIRECT(ADDRESS(2,COLUMN())),OFFSET($BN$2,0,0,ROW()-1,60),ROW()-1,FALSE))</f>
        <v/>
      </c>
      <c r="I158" t="str">
        <f ca="1">IF(AND(ISNUMBER($I$353),$B$185=1),$I$353,HLOOKUP(INDIRECT(ADDRESS(2,COLUMN())),OFFSET($BN$2,0,0,ROW()-1,60),ROW()-1,FALSE))</f>
        <v/>
      </c>
      <c r="J158" t="str">
        <f ca="1">IF(AND(ISNUMBER($J$353),$B$185=1),$J$353,HLOOKUP(INDIRECT(ADDRESS(2,COLUMN())),OFFSET($BN$2,0,0,ROW()-1,60),ROW()-1,FALSE))</f>
        <v/>
      </c>
      <c r="K158" t="str">
        <f ca="1">IF(AND(ISNUMBER($K$353),$B$185=1),$K$353,HLOOKUP(INDIRECT(ADDRESS(2,COLUMN())),OFFSET($BN$2,0,0,ROW()-1,60),ROW()-1,FALSE))</f>
        <v/>
      </c>
      <c r="L158" t="str">
        <f ca="1">IF(AND(ISNUMBER($L$353),$B$185=1),$L$353,HLOOKUP(INDIRECT(ADDRESS(2,COLUMN())),OFFSET($BN$2,0,0,ROW()-1,60),ROW()-1,FALSE))</f>
        <v/>
      </c>
      <c r="M158" t="str">
        <f ca="1">IF(AND(ISNUMBER($M$353),$B$185=1),$M$353,HLOOKUP(INDIRECT(ADDRESS(2,COLUMN())),OFFSET($BN$2,0,0,ROW()-1,60),ROW()-1,FALSE))</f>
        <v/>
      </c>
      <c r="N158" t="str">
        <f ca="1">IF(AND(ISNUMBER($N$353),$B$185=1),$N$353,HLOOKUP(INDIRECT(ADDRESS(2,COLUMN())),OFFSET($BN$2,0,0,ROW()-1,60),ROW()-1,FALSE))</f>
        <v/>
      </c>
      <c r="O158" t="str">
        <f ca="1">IF(AND(ISNUMBER($O$353),$B$185=1),$O$353,HLOOKUP(INDIRECT(ADDRESS(2,COLUMN())),OFFSET($BN$2,0,0,ROW()-1,60),ROW()-1,FALSE))</f>
        <v/>
      </c>
      <c r="P158" t="str">
        <f ca="1">IF(AND(ISNUMBER($P$353),$B$185=1),$P$353,HLOOKUP(INDIRECT(ADDRESS(2,COLUMN())),OFFSET($BN$2,0,0,ROW()-1,60),ROW()-1,FALSE))</f>
        <v/>
      </c>
      <c r="Q158" t="str">
        <f ca="1">IF(AND(ISNUMBER($Q$353),$B$185=1),$Q$353,HLOOKUP(INDIRECT(ADDRESS(2,COLUMN())),OFFSET($BN$2,0,0,ROW()-1,60),ROW()-1,FALSE))</f>
        <v/>
      </c>
      <c r="R158" t="str">
        <f ca="1">IF(AND(ISNUMBER($R$353),$B$185=1),$R$353,HLOOKUP(INDIRECT(ADDRESS(2,COLUMN())),OFFSET($BN$2,0,0,ROW()-1,60),ROW()-1,FALSE))</f>
        <v/>
      </c>
      <c r="S158" t="str">
        <f ca="1">IF(AND(ISNUMBER($S$353),$B$185=1),$S$353,HLOOKUP(INDIRECT(ADDRESS(2,COLUMN())),OFFSET($BN$2,0,0,ROW()-1,60),ROW()-1,FALSE))</f>
        <v/>
      </c>
      <c r="T158" t="str">
        <f ca="1">IF(AND(ISNUMBER($T$353),$B$185=1),$T$353,HLOOKUP(INDIRECT(ADDRESS(2,COLUMN())),OFFSET($BN$2,0,0,ROW()-1,60),ROW()-1,FALSE))</f>
        <v/>
      </c>
      <c r="U158" t="str">
        <f ca="1">IF(AND(ISNUMBER($U$353),$B$185=1),$U$353,HLOOKUP(INDIRECT(ADDRESS(2,COLUMN())),OFFSET($BN$2,0,0,ROW()-1,60),ROW()-1,FALSE))</f>
        <v/>
      </c>
      <c r="V158" t="str">
        <f ca="1">IF(AND(ISNUMBER($V$353),$B$185=1),$V$353,HLOOKUP(INDIRECT(ADDRESS(2,COLUMN())),OFFSET($BN$2,0,0,ROW()-1,60),ROW()-1,FALSE))</f>
        <v/>
      </c>
      <c r="W158" t="str">
        <f ca="1">IF(AND(ISNUMBER($W$353),$B$185=1),$W$353,HLOOKUP(INDIRECT(ADDRESS(2,COLUMN())),OFFSET($BN$2,0,0,ROW()-1,60),ROW()-1,FALSE))</f>
        <v/>
      </c>
      <c r="X158" t="str">
        <f ca="1">IF(AND(ISNUMBER($X$353),$B$185=1),$X$353,HLOOKUP(INDIRECT(ADDRESS(2,COLUMN())),OFFSET($BN$2,0,0,ROW()-1,60),ROW()-1,FALSE))</f>
        <v/>
      </c>
      <c r="Y158" t="str">
        <f ca="1">IF(AND(ISNUMBER($Y$353),$B$185=1),$Y$353,HLOOKUP(INDIRECT(ADDRESS(2,COLUMN())),OFFSET($BN$2,0,0,ROW()-1,60),ROW()-1,FALSE))</f>
        <v/>
      </c>
      <c r="Z158" t="str">
        <f ca="1">IF(AND(ISNUMBER($Z$353),$B$185=1),$Z$353,HLOOKUP(INDIRECT(ADDRESS(2,COLUMN())),OFFSET($BN$2,0,0,ROW()-1,60),ROW()-1,FALSE))</f>
        <v/>
      </c>
      <c r="AA158" t="str">
        <f ca="1">IF(AND(ISNUMBER($AA$353),$B$185=1),$AA$353,HLOOKUP(INDIRECT(ADDRESS(2,COLUMN())),OFFSET($BN$2,0,0,ROW()-1,60),ROW()-1,FALSE))</f>
        <v/>
      </c>
      <c r="AB158" t="str">
        <f ca="1">IF(AND(ISNUMBER($AB$353),$B$185=1),$AB$353,HLOOKUP(INDIRECT(ADDRESS(2,COLUMN())),OFFSET($BN$2,0,0,ROW()-1,60),ROW()-1,FALSE))</f>
        <v/>
      </c>
      <c r="AC158" t="str">
        <f ca="1">IF(AND(ISNUMBER($AC$353),$B$185=1),$AC$353,HLOOKUP(INDIRECT(ADDRESS(2,COLUMN())),OFFSET($BN$2,0,0,ROW()-1,60),ROW()-1,FALSE))</f>
        <v/>
      </c>
      <c r="AD158" t="str">
        <f ca="1">IF(AND(ISNUMBER($AD$353),$B$185=1),$AD$353,HLOOKUP(INDIRECT(ADDRESS(2,COLUMN())),OFFSET($BN$2,0,0,ROW()-1,60),ROW()-1,FALSE))</f>
        <v/>
      </c>
      <c r="AE158" t="str">
        <f ca="1">IF(AND(ISNUMBER($AE$353),$B$185=1),$AE$353,HLOOKUP(INDIRECT(ADDRESS(2,COLUMN())),OFFSET($BN$2,0,0,ROW()-1,60),ROW()-1,FALSE))</f>
        <v/>
      </c>
      <c r="AF158" t="str">
        <f ca="1">IF(AND(ISNUMBER($AF$353),$B$185=1),$AF$353,HLOOKUP(INDIRECT(ADDRESS(2,COLUMN())),OFFSET($BN$2,0,0,ROW()-1,60),ROW()-1,FALSE))</f>
        <v/>
      </c>
      <c r="AG158" t="str">
        <f ca="1">IF(AND(ISNUMBER($AG$353),$B$185=1),$AG$353,HLOOKUP(INDIRECT(ADDRESS(2,COLUMN())),OFFSET($BN$2,0,0,ROW()-1,60),ROW()-1,FALSE))</f>
        <v/>
      </c>
      <c r="AH158" t="str">
        <f ca="1">IF(AND(ISNUMBER($AH$353),$B$185=1),$AH$353,HLOOKUP(INDIRECT(ADDRESS(2,COLUMN())),OFFSET($BN$2,0,0,ROW()-1,60),ROW()-1,FALSE))</f>
        <v/>
      </c>
      <c r="AI158" t="str">
        <f ca="1">IF(AND(ISNUMBER($AI$353),$B$185=1),$AI$353,HLOOKUP(INDIRECT(ADDRESS(2,COLUMN())),OFFSET($BN$2,0,0,ROW()-1,60),ROW()-1,FALSE))</f>
        <v/>
      </c>
      <c r="AJ158" t="str">
        <f ca="1">IF(AND(ISNUMBER($AJ$353),$B$185=1),$AJ$353,HLOOKUP(INDIRECT(ADDRESS(2,COLUMN())),OFFSET($BN$2,0,0,ROW()-1,60),ROW()-1,FALSE))</f>
        <v/>
      </c>
      <c r="AK158" t="str">
        <f ca="1">IF(AND(ISNUMBER($AK$353),$B$185=1),$AK$353,HLOOKUP(INDIRECT(ADDRESS(2,COLUMN())),OFFSET($BN$2,0,0,ROW()-1,60),ROW()-1,FALSE))</f>
        <v/>
      </c>
      <c r="AL158" t="str">
        <f ca="1">IF(AND(ISNUMBER($AL$353),$B$185=1),$AL$353,HLOOKUP(INDIRECT(ADDRESS(2,COLUMN())),OFFSET($BN$2,0,0,ROW()-1,60),ROW()-1,FALSE))</f>
        <v/>
      </c>
      <c r="AM158" t="str">
        <f ca="1">IF(AND(ISNUMBER($AM$353),$B$185=1),$AM$353,HLOOKUP(INDIRECT(ADDRESS(2,COLUMN())),OFFSET($BN$2,0,0,ROW()-1,60),ROW()-1,FALSE))</f>
        <v/>
      </c>
      <c r="AN158" t="str">
        <f ca="1">IF(AND(ISNUMBER($AN$353),$B$185=1),$AN$353,HLOOKUP(INDIRECT(ADDRESS(2,COLUMN())),OFFSET($BN$2,0,0,ROW()-1,60),ROW()-1,FALSE))</f>
        <v/>
      </c>
      <c r="AO158" t="str">
        <f ca="1">IF(AND(ISNUMBER($AO$353),$B$185=1),$AO$353,HLOOKUP(INDIRECT(ADDRESS(2,COLUMN())),OFFSET($BN$2,0,0,ROW()-1,60),ROW()-1,FALSE))</f>
        <v/>
      </c>
      <c r="AP158" t="str">
        <f ca="1">IF(AND(ISNUMBER($AP$353),$B$185=1),$AP$353,HLOOKUP(INDIRECT(ADDRESS(2,COLUMN())),OFFSET($BN$2,0,0,ROW()-1,60),ROW()-1,FALSE))</f>
        <v/>
      </c>
      <c r="AQ158" t="str">
        <f ca="1">IF(AND(ISNUMBER($AQ$353),$B$185=1),$AQ$353,HLOOKUP(INDIRECT(ADDRESS(2,COLUMN())),OFFSET($BN$2,0,0,ROW()-1,60),ROW()-1,FALSE))</f>
        <v/>
      </c>
      <c r="AR158" t="str">
        <f ca="1">IF(AND(ISNUMBER($AR$353),$B$185=1),$AR$353,HLOOKUP(INDIRECT(ADDRESS(2,COLUMN())),OFFSET($BN$2,0,0,ROW()-1,60),ROW()-1,FALSE))</f>
        <v/>
      </c>
      <c r="AS158" t="str">
        <f ca="1">IF(AND(ISNUMBER($AS$353),$B$185=1),$AS$353,HLOOKUP(INDIRECT(ADDRESS(2,COLUMN())),OFFSET($BN$2,0,0,ROW()-1,60),ROW()-1,FALSE))</f>
        <v/>
      </c>
      <c r="AT158" t="str">
        <f ca="1">IF(AND(ISNUMBER($AT$353),$B$185=1),$AT$353,HLOOKUP(INDIRECT(ADDRESS(2,COLUMN())),OFFSET($BN$2,0,0,ROW()-1,60),ROW()-1,FALSE))</f>
        <v/>
      </c>
      <c r="AU158" t="str">
        <f ca="1">IF(AND(ISNUMBER($AU$353),$B$185=1),$AU$353,HLOOKUP(INDIRECT(ADDRESS(2,COLUMN())),OFFSET($BN$2,0,0,ROW()-1,60),ROW()-1,FALSE))</f>
        <v/>
      </c>
      <c r="AV158" t="str">
        <f ca="1">IF(AND(ISNUMBER($AV$353),$B$185=1),$AV$353,HLOOKUP(INDIRECT(ADDRESS(2,COLUMN())),OFFSET($BN$2,0,0,ROW()-1,60),ROW()-1,FALSE))</f>
        <v/>
      </c>
      <c r="AW158" t="str">
        <f ca="1">IF(AND(ISNUMBER($AW$353),$B$185=1),$AW$353,HLOOKUP(INDIRECT(ADDRESS(2,COLUMN())),OFFSET($BN$2,0,0,ROW()-1,60),ROW()-1,FALSE))</f>
        <v/>
      </c>
      <c r="AX158" t="str">
        <f ca="1">IF(AND(ISNUMBER($AX$353),$B$185=1),$AX$353,HLOOKUP(INDIRECT(ADDRESS(2,COLUMN())),OFFSET($BN$2,0,0,ROW()-1,60),ROW()-1,FALSE))</f>
        <v/>
      </c>
      <c r="AY158" t="str">
        <f ca="1">IF(AND(ISNUMBER($AY$353),$B$185=1),$AY$353,HLOOKUP(INDIRECT(ADDRESS(2,COLUMN())),OFFSET($BN$2,0,0,ROW()-1,60),ROW()-1,FALSE))</f>
        <v/>
      </c>
      <c r="AZ158" t="str">
        <f ca="1">IF(AND(ISNUMBER($AZ$353),$B$185=1),$AZ$353,HLOOKUP(INDIRECT(ADDRESS(2,COLUMN())),OFFSET($BN$2,0,0,ROW()-1,60),ROW()-1,FALSE))</f>
        <v/>
      </c>
      <c r="BA158" t="str">
        <f ca="1">IF(AND(ISNUMBER($BA$353),$B$185=1),$BA$353,HLOOKUP(INDIRECT(ADDRESS(2,COLUMN())),OFFSET($BN$2,0,0,ROW()-1,60),ROW()-1,FALSE))</f>
        <v/>
      </c>
      <c r="BB158" t="str">
        <f ca="1">IF(AND(ISNUMBER($BB$353),$B$185=1),$BB$353,HLOOKUP(INDIRECT(ADDRESS(2,COLUMN())),OFFSET($BN$2,0,0,ROW()-1,60),ROW()-1,FALSE))</f>
        <v/>
      </c>
      <c r="BC158" t="str">
        <f ca="1">IF(AND(ISNUMBER($BC$353),$B$185=1),$BC$353,HLOOKUP(INDIRECT(ADDRESS(2,COLUMN())),OFFSET($BN$2,0,0,ROW()-1,60),ROW()-1,FALSE))</f>
        <v/>
      </c>
      <c r="BD158" t="str">
        <f ca="1">IF(AND(ISNUMBER($BD$353),$B$185=1),$BD$353,HLOOKUP(INDIRECT(ADDRESS(2,COLUMN())),OFFSET($BN$2,0,0,ROW()-1,60),ROW()-1,FALSE))</f>
        <v/>
      </c>
      <c r="BE158" t="str">
        <f ca="1">IF(AND(ISNUMBER($BE$353),$B$185=1),$BE$353,HLOOKUP(INDIRECT(ADDRESS(2,COLUMN())),OFFSET($BN$2,0,0,ROW()-1,60),ROW()-1,FALSE))</f>
        <v/>
      </c>
      <c r="BF158" t="str">
        <f ca="1">IF(AND(ISNUMBER($BF$353),$B$185=1),$BF$353,HLOOKUP(INDIRECT(ADDRESS(2,COLUMN())),OFFSET($BN$2,0,0,ROW()-1,60),ROW()-1,FALSE))</f>
        <v/>
      </c>
      <c r="BG158" t="str">
        <f ca="1">IF(AND(ISNUMBER($BG$353),$B$185=1),$BG$353,HLOOKUP(INDIRECT(ADDRESS(2,COLUMN())),OFFSET($BN$2,0,0,ROW()-1,60),ROW()-1,FALSE))</f>
        <v/>
      </c>
      <c r="BH158" t="str">
        <f ca="1">IF(AND(ISNUMBER($BH$353),$B$185=1),$BH$353,HLOOKUP(INDIRECT(ADDRESS(2,COLUMN())),OFFSET($BN$2,0,0,ROW()-1,60),ROW()-1,FALSE))</f>
        <v/>
      </c>
      <c r="BI158" t="str">
        <f ca="1">IF(AND(ISNUMBER($BI$353),$B$185=1),$BI$353,HLOOKUP(INDIRECT(ADDRESS(2,COLUMN())),OFFSET($BN$2,0,0,ROW()-1,60),ROW()-1,FALSE))</f>
        <v/>
      </c>
      <c r="BJ158" t="str">
        <f ca="1">IF(AND(ISNUMBER($BJ$353),$B$185=1),$BJ$353,HLOOKUP(INDIRECT(ADDRESS(2,COLUMN())),OFFSET($BN$2,0,0,ROW()-1,60),ROW()-1,FALSE))</f>
        <v/>
      </c>
      <c r="BK158" t="str">
        <f ca="1">IF(AND(ISNUMBER($BK$353),$B$185=1),$BK$353,HLOOKUP(INDIRECT(ADDRESS(2,COLUMN())),OFFSET($BN$2,0,0,ROW()-1,60),ROW()-1,FALSE))</f>
        <v/>
      </c>
      <c r="BL158" t="str">
        <f ca="1">IF(AND(ISNUMBER($BL$353),$B$185=1),$BL$353,HLOOKUP(INDIRECT(ADDRESS(2,COLUMN())),OFFSET($BN$2,0,0,ROW()-1,60),ROW()-1,FALSE))</f>
        <v/>
      </c>
      <c r="BM158" t="str">
        <f ca="1">IF(AND(ISNUMBER($BM$353),$B$185=1),$BM$353,HLOOKUP(INDIRECT(ADDRESS(2,COLUMN())),OFFSET($BN$2,0,0,ROW()-1,60),ROW()-1,FALSE))</f>
        <v/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  <c r="BT158" t="str">
        <f>""</f>
        <v/>
      </c>
      <c r="BU158" t="str">
        <f>""</f>
        <v/>
      </c>
      <c r="BV158" t="str">
        <f>""</f>
        <v/>
      </c>
      <c r="BW158" t="str">
        <f>""</f>
        <v/>
      </c>
      <c r="BX158" t="str">
        <f>""</f>
        <v/>
      </c>
      <c r="BY158" t="str">
        <f>""</f>
        <v/>
      </c>
      <c r="BZ158" t="str">
        <f>""</f>
        <v/>
      </c>
      <c r="CA158" t="str">
        <f>""</f>
        <v/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""</f>
        <v/>
      </c>
      <c r="CG158" t="str">
        <f>""</f>
        <v/>
      </c>
      <c r="CH158" t="str">
        <f>""</f>
        <v/>
      </c>
      <c r="CI158" t="str">
        <f>""</f>
        <v/>
      </c>
      <c r="CJ158" t="str">
        <f>""</f>
        <v/>
      </c>
      <c r="CK158" t="str">
        <f>""</f>
        <v/>
      </c>
      <c r="CL158" t="str">
        <f>""</f>
        <v/>
      </c>
      <c r="CM158" t="str">
        <f>""</f>
        <v/>
      </c>
      <c r="CN158" t="str">
        <f>""</f>
        <v/>
      </c>
      <c r="CO158" t="str">
        <f>""</f>
        <v/>
      </c>
      <c r="CP158" t="str">
        <f>""</f>
        <v/>
      </c>
      <c r="CQ158" t="str">
        <f>""</f>
        <v/>
      </c>
      <c r="CR158" t="str">
        <f>""</f>
        <v/>
      </c>
      <c r="CS158" t="str">
        <f>""</f>
        <v/>
      </c>
      <c r="CT158" t="str">
        <f>""</f>
        <v/>
      </c>
      <c r="CU158" t="str">
        <f>""</f>
        <v/>
      </c>
      <c r="CV158" t="str">
        <f>""</f>
        <v/>
      </c>
      <c r="CW158" t="str">
        <f>""</f>
        <v/>
      </c>
      <c r="CX158" t="str">
        <f>""</f>
        <v/>
      </c>
      <c r="CY158" t="str">
        <f>""</f>
        <v/>
      </c>
      <c r="CZ158" t="str">
        <f>""</f>
        <v/>
      </c>
      <c r="DA158" t="str">
        <f>""</f>
        <v/>
      </c>
      <c r="DB158" t="str">
        <f>""</f>
        <v/>
      </c>
      <c r="DC158" t="str">
        <f>""</f>
        <v/>
      </c>
      <c r="DD158" t="str">
        <f>""</f>
        <v/>
      </c>
      <c r="DE158" t="str">
        <f>""</f>
        <v/>
      </c>
      <c r="DF158" t="str">
        <f>""</f>
        <v/>
      </c>
      <c r="DG158" t="str">
        <f>""</f>
        <v/>
      </c>
      <c r="DH158" t="str">
        <f>""</f>
        <v/>
      </c>
      <c r="DI158" t="str">
        <f>""</f>
        <v/>
      </c>
      <c r="DJ158" t="str">
        <f>""</f>
        <v/>
      </c>
      <c r="DK158" t="str">
        <f>""</f>
        <v/>
      </c>
      <c r="DL158" t="str">
        <f>""</f>
        <v/>
      </c>
      <c r="DM158" t="str">
        <f>""</f>
        <v/>
      </c>
      <c r="DN158" t="str">
        <f>""</f>
        <v/>
      </c>
      <c r="DO158" t="str">
        <f>""</f>
        <v/>
      </c>
      <c r="DP158" t="str">
        <f>""</f>
        <v/>
      </c>
      <c r="DQ158" t="str">
        <f>""</f>
        <v/>
      </c>
      <c r="DR158" t="str">
        <f>""</f>
        <v/>
      </c>
      <c r="DS158" t="str">
        <f>""</f>
        <v/>
      </c>
      <c r="DT158" t="str">
        <f>""</f>
        <v/>
      </c>
      <c r="DU158" t="str">
        <f>""</f>
        <v/>
      </c>
    </row>
    <row r="159" spans="1:125">
      <c r="A159" t="str">
        <f>"    KeyCorp"</f>
        <v xml:space="preserve">    KeyCorp</v>
      </c>
      <c r="B159" t="str">
        <f>"KEY US Equity"</f>
        <v>KEY US Equity</v>
      </c>
      <c r="C159" t="str">
        <f t="shared" si="19"/>
        <v>BS963</v>
      </c>
      <c r="D159" t="str">
        <f t="shared" si="20"/>
        <v>BS_COMML_MTG_SERVICED_OTHERS</v>
      </c>
      <c r="E159" t="str">
        <f t="shared" si="21"/>
        <v>Dynamic</v>
      </c>
      <c r="F159" t="str">
        <f ca="1">IF(AND(ISNUMBER($F$354),$B$185=1),$F$354,HLOOKUP(INDIRECT(ADDRESS(2,COLUMN())),OFFSET($BN$2,0,0,ROW()-1,60),ROW()-1,FALSE))</f>
        <v/>
      </c>
      <c r="G159" t="str">
        <f ca="1">IF(AND(ISNUMBER($G$354),$B$185=1),$G$354,HLOOKUP(INDIRECT(ADDRESS(2,COLUMN())),OFFSET($BN$2,0,0,ROW()-1,60),ROW()-1,FALSE))</f>
        <v/>
      </c>
      <c r="H159" t="str">
        <f ca="1">IF(AND(ISNUMBER($H$354),$B$185=1),$H$354,HLOOKUP(INDIRECT(ADDRESS(2,COLUMN())),OFFSET($BN$2,0,0,ROW()-1,60),ROW()-1,FALSE))</f>
        <v/>
      </c>
      <c r="I159" t="str">
        <f ca="1">IF(AND(ISNUMBER($I$354),$B$185=1),$I$354,HLOOKUP(INDIRECT(ADDRESS(2,COLUMN())),OFFSET($BN$2,0,0,ROW()-1,60),ROW()-1,FALSE))</f>
        <v/>
      </c>
      <c r="J159" t="str">
        <f ca="1">IF(AND(ISNUMBER($J$354),$B$185=1),$J$354,HLOOKUP(INDIRECT(ADDRESS(2,COLUMN())),OFFSET($BN$2,0,0,ROW()-1,60),ROW()-1,FALSE))</f>
        <v/>
      </c>
      <c r="K159" t="str">
        <f ca="1">IF(AND(ISNUMBER($K$354),$B$185=1),$K$354,HLOOKUP(INDIRECT(ADDRESS(2,COLUMN())),OFFSET($BN$2,0,0,ROW()-1,60),ROW()-1,FALSE))</f>
        <v/>
      </c>
      <c r="L159" t="str">
        <f ca="1">IF(AND(ISNUMBER($L$354),$B$185=1),$L$354,HLOOKUP(INDIRECT(ADDRESS(2,COLUMN())),OFFSET($BN$2,0,0,ROW()-1,60),ROW()-1,FALSE))</f>
        <v/>
      </c>
      <c r="M159" t="str">
        <f ca="1">IF(AND(ISNUMBER($M$354),$B$185=1),$M$354,HLOOKUP(INDIRECT(ADDRESS(2,COLUMN())),OFFSET($BN$2,0,0,ROW()-1,60),ROW()-1,FALSE))</f>
        <v/>
      </c>
      <c r="N159" t="str">
        <f ca="1">IF(AND(ISNUMBER($N$354),$B$185=1),$N$354,HLOOKUP(INDIRECT(ADDRESS(2,COLUMN())),OFFSET($BN$2,0,0,ROW()-1,60),ROW()-1,FALSE))</f>
        <v/>
      </c>
      <c r="O159" t="str">
        <f ca="1">IF(AND(ISNUMBER($O$354),$B$185=1),$O$354,HLOOKUP(INDIRECT(ADDRESS(2,COLUMN())),OFFSET($BN$2,0,0,ROW()-1,60),ROW()-1,FALSE))</f>
        <v/>
      </c>
      <c r="P159" t="str">
        <f ca="1">IF(AND(ISNUMBER($P$354),$B$185=1),$P$354,HLOOKUP(INDIRECT(ADDRESS(2,COLUMN())),OFFSET($BN$2,0,0,ROW()-1,60),ROW()-1,FALSE))</f>
        <v/>
      </c>
      <c r="Q159" t="str">
        <f ca="1">IF(AND(ISNUMBER($Q$354),$B$185=1),$Q$354,HLOOKUP(INDIRECT(ADDRESS(2,COLUMN())),OFFSET($BN$2,0,0,ROW()-1,60),ROW()-1,FALSE))</f>
        <v/>
      </c>
      <c r="R159" t="str">
        <f ca="1">IF(AND(ISNUMBER($R$354),$B$185=1),$R$354,HLOOKUP(INDIRECT(ADDRESS(2,COLUMN())),OFFSET($BN$2,0,0,ROW()-1,60),ROW()-1,FALSE))</f>
        <v/>
      </c>
      <c r="S159" t="str">
        <f ca="1">IF(AND(ISNUMBER($S$354),$B$185=1),$S$354,HLOOKUP(INDIRECT(ADDRESS(2,COLUMN())),OFFSET($BN$2,0,0,ROW()-1,60),ROW()-1,FALSE))</f>
        <v/>
      </c>
      <c r="T159" t="str">
        <f ca="1">IF(AND(ISNUMBER($T$354),$B$185=1),$T$354,HLOOKUP(INDIRECT(ADDRESS(2,COLUMN())),OFFSET($BN$2,0,0,ROW()-1,60),ROW()-1,FALSE))</f>
        <v/>
      </c>
      <c r="U159" t="str">
        <f ca="1">IF(AND(ISNUMBER($U$354),$B$185=1),$U$354,HLOOKUP(INDIRECT(ADDRESS(2,COLUMN())),OFFSET($BN$2,0,0,ROW()-1,60),ROW()-1,FALSE))</f>
        <v/>
      </c>
      <c r="V159" t="str">
        <f ca="1">IF(AND(ISNUMBER($V$354),$B$185=1),$V$354,HLOOKUP(INDIRECT(ADDRESS(2,COLUMN())),OFFSET($BN$2,0,0,ROW()-1,60),ROW()-1,FALSE))</f>
        <v/>
      </c>
      <c r="W159" t="str">
        <f ca="1">IF(AND(ISNUMBER($W$354),$B$185=1),$W$354,HLOOKUP(INDIRECT(ADDRESS(2,COLUMN())),OFFSET($BN$2,0,0,ROW()-1,60),ROW()-1,FALSE))</f>
        <v/>
      </c>
      <c r="X159" t="str">
        <f ca="1">IF(AND(ISNUMBER($X$354),$B$185=1),$X$354,HLOOKUP(INDIRECT(ADDRESS(2,COLUMN())),OFFSET($BN$2,0,0,ROW()-1,60),ROW()-1,FALSE))</f>
        <v/>
      </c>
      <c r="Y159" t="str">
        <f ca="1">IF(AND(ISNUMBER($Y$354),$B$185=1),$Y$354,HLOOKUP(INDIRECT(ADDRESS(2,COLUMN())),OFFSET($BN$2,0,0,ROW()-1,60),ROW()-1,FALSE))</f>
        <v/>
      </c>
      <c r="Z159" t="str">
        <f ca="1">IF(AND(ISNUMBER($Z$354),$B$185=1),$Z$354,HLOOKUP(INDIRECT(ADDRESS(2,COLUMN())),OFFSET($BN$2,0,0,ROW()-1,60),ROW()-1,FALSE))</f>
        <v/>
      </c>
      <c r="AA159" t="str">
        <f ca="1">IF(AND(ISNUMBER($AA$354),$B$185=1),$AA$354,HLOOKUP(INDIRECT(ADDRESS(2,COLUMN())),OFFSET($BN$2,0,0,ROW()-1,60),ROW()-1,FALSE))</f>
        <v/>
      </c>
      <c r="AB159" t="str">
        <f ca="1">IF(AND(ISNUMBER($AB$354),$B$185=1),$AB$354,HLOOKUP(INDIRECT(ADDRESS(2,COLUMN())),OFFSET($BN$2,0,0,ROW()-1,60),ROW()-1,FALSE))</f>
        <v/>
      </c>
      <c r="AC159" t="str">
        <f ca="1">IF(AND(ISNUMBER($AC$354),$B$185=1),$AC$354,HLOOKUP(INDIRECT(ADDRESS(2,COLUMN())),OFFSET($BN$2,0,0,ROW()-1,60),ROW()-1,FALSE))</f>
        <v/>
      </c>
      <c r="AD159" t="str">
        <f ca="1">IF(AND(ISNUMBER($AD$354),$B$185=1),$AD$354,HLOOKUP(INDIRECT(ADDRESS(2,COLUMN())),OFFSET($BN$2,0,0,ROW()-1,60),ROW()-1,FALSE))</f>
        <v/>
      </c>
      <c r="AE159" t="str">
        <f ca="1">IF(AND(ISNUMBER($AE$354),$B$185=1),$AE$354,HLOOKUP(INDIRECT(ADDRESS(2,COLUMN())),OFFSET($BN$2,0,0,ROW()-1,60),ROW()-1,FALSE))</f>
        <v/>
      </c>
      <c r="AF159" t="str">
        <f ca="1">IF(AND(ISNUMBER($AF$354),$B$185=1),$AF$354,HLOOKUP(INDIRECT(ADDRESS(2,COLUMN())),OFFSET($BN$2,0,0,ROW()-1,60),ROW()-1,FALSE))</f>
        <v/>
      </c>
      <c r="AG159" t="str">
        <f ca="1">IF(AND(ISNUMBER($AG$354),$B$185=1),$AG$354,HLOOKUP(INDIRECT(ADDRESS(2,COLUMN())),OFFSET($BN$2,0,0,ROW()-1,60),ROW()-1,FALSE))</f>
        <v/>
      </c>
      <c r="AH159" t="str">
        <f ca="1">IF(AND(ISNUMBER($AH$354),$B$185=1),$AH$354,HLOOKUP(INDIRECT(ADDRESS(2,COLUMN())),OFFSET($BN$2,0,0,ROW()-1,60),ROW()-1,FALSE))</f>
        <v/>
      </c>
      <c r="AI159" t="str">
        <f ca="1">IF(AND(ISNUMBER($AI$354),$B$185=1),$AI$354,HLOOKUP(INDIRECT(ADDRESS(2,COLUMN())),OFFSET($BN$2,0,0,ROW()-1,60),ROW()-1,FALSE))</f>
        <v/>
      </c>
      <c r="AJ159" t="str">
        <f ca="1">IF(AND(ISNUMBER($AJ$354),$B$185=1),$AJ$354,HLOOKUP(INDIRECT(ADDRESS(2,COLUMN())),OFFSET($BN$2,0,0,ROW()-1,60),ROW()-1,FALSE))</f>
        <v/>
      </c>
      <c r="AK159" t="str">
        <f ca="1">IF(AND(ISNUMBER($AK$354),$B$185=1),$AK$354,HLOOKUP(INDIRECT(ADDRESS(2,COLUMN())),OFFSET($BN$2,0,0,ROW()-1,60),ROW()-1,FALSE))</f>
        <v/>
      </c>
      <c r="AL159" t="str">
        <f ca="1">IF(AND(ISNUMBER($AL$354),$B$185=1),$AL$354,HLOOKUP(INDIRECT(ADDRESS(2,COLUMN())),OFFSET($BN$2,0,0,ROW()-1,60),ROW()-1,FALSE))</f>
        <v/>
      </c>
      <c r="AM159" t="str">
        <f ca="1">IF(AND(ISNUMBER($AM$354),$B$185=1),$AM$354,HLOOKUP(INDIRECT(ADDRESS(2,COLUMN())),OFFSET($BN$2,0,0,ROW()-1,60),ROW()-1,FALSE))</f>
        <v/>
      </c>
      <c r="AN159" t="str">
        <f ca="1">IF(AND(ISNUMBER($AN$354),$B$185=1),$AN$354,HLOOKUP(INDIRECT(ADDRESS(2,COLUMN())),OFFSET($BN$2,0,0,ROW()-1,60),ROW()-1,FALSE))</f>
        <v/>
      </c>
      <c r="AO159" t="str">
        <f ca="1">IF(AND(ISNUMBER($AO$354),$B$185=1),$AO$354,HLOOKUP(INDIRECT(ADDRESS(2,COLUMN())),OFFSET($BN$2,0,0,ROW()-1,60),ROW()-1,FALSE))</f>
        <v/>
      </c>
      <c r="AP159" t="str">
        <f ca="1">IF(AND(ISNUMBER($AP$354),$B$185=1),$AP$354,HLOOKUP(INDIRECT(ADDRESS(2,COLUMN())),OFFSET($BN$2,0,0,ROW()-1,60),ROW()-1,FALSE))</f>
        <v/>
      </c>
      <c r="AQ159" t="str">
        <f ca="1">IF(AND(ISNUMBER($AQ$354),$B$185=1),$AQ$354,HLOOKUP(INDIRECT(ADDRESS(2,COLUMN())),OFFSET($BN$2,0,0,ROW()-1,60),ROW()-1,FALSE))</f>
        <v/>
      </c>
      <c r="AR159" t="str">
        <f ca="1">IF(AND(ISNUMBER($AR$354),$B$185=1),$AR$354,HLOOKUP(INDIRECT(ADDRESS(2,COLUMN())),OFFSET($BN$2,0,0,ROW()-1,60),ROW()-1,FALSE))</f>
        <v/>
      </c>
      <c r="AS159" t="str">
        <f ca="1">IF(AND(ISNUMBER($AS$354),$B$185=1),$AS$354,HLOOKUP(INDIRECT(ADDRESS(2,COLUMN())),OFFSET($BN$2,0,0,ROW()-1,60),ROW()-1,FALSE))</f>
        <v/>
      </c>
      <c r="AT159" t="str">
        <f ca="1">IF(AND(ISNUMBER($AT$354),$B$185=1),$AT$354,HLOOKUP(INDIRECT(ADDRESS(2,COLUMN())),OFFSET($BN$2,0,0,ROW()-1,60),ROW()-1,FALSE))</f>
        <v/>
      </c>
      <c r="AU159" t="str">
        <f ca="1">IF(AND(ISNUMBER($AU$354),$B$185=1),$AU$354,HLOOKUP(INDIRECT(ADDRESS(2,COLUMN())),OFFSET($BN$2,0,0,ROW()-1,60),ROW()-1,FALSE))</f>
        <v/>
      </c>
      <c r="AV159" t="str">
        <f ca="1">IF(AND(ISNUMBER($AV$354),$B$185=1),$AV$354,HLOOKUP(INDIRECT(ADDRESS(2,COLUMN())),OFFSET($BN$2,0,0,ROW()-1,60),ROW()-1,FALSE))</f>
        <v/>
      </c>
      <c r="AW159" t="str">
        <f ca="1">IF(AND(ISNUMBER($AW$354),$B$185=1),$AW$354,HLOOKUP(INDIRECT(ADDRESS(2,COLUMN())),OFFSET($BN$2,0,0,ROW()-1,60),ROW()-1,FALSE))</f>
        <v/>
      </c>
      <c r="AX159" t="str">
        <f ca="1">IF(AND(ISNUMBER($AX$354),$B$185=1),$AX$354,HLOOKUP(INDIRECT(ADDRESS(2,COLUMN())),OFFSET($BN$2,0,0,ROW()-1,60),ROW()-1,FALSE))</f>
        <v/>
      </c>
      <c r="AY159" t="str">
        <f ca="1">IF(AND(ISNUMBER($AY$354),$B$185=1),$AY$354,HLOOKUP(INDIRECT(ADDRESS(2,COLUMN())),OFFSET($BN$2,0,0,ROW()-1,60),ROW()-1,FALSE))</f>
        <v/>
      </c>
      <c r="AZ159" t="str">
        <f ca="1">IF(AND(ISNUMBER($AZ$354),$B$185=1),$AZ$354,HLOOKUP(INDIRECT(ADDRESS(2,COLUMN())),OFFSET($BN$2,0,0,ROW()-1,60),ROW()-1,FALSE))</f>
        <v/>
      </c>
      <c r="BA159" t="str">
        <f ca="1">IF(AND(ISNUMBER($BA$354),$B$185=1),$BA$354,HLOOKUP(INDIRECT(ADDRESS(2,COLUMN())),OFFSET($BN$2,0,0,ROW()-1,60),ROW()-1,FALSE))</f>
        <v/>
      </c>
      <c r="BB159" t="str">
        <f ca="1">IF(AND(ISNUMBER($BB$354),$B$185=1),$BB$354,HLOOKUP(INDIRECT(ADDRESS(2,COLUMN())),OFFSET($BN$2,0,0,ROW()-1,60),ROW()-1,FALSE))</f>
        <v/>
      </c>
      <c r="BC159" t="str">
        <f ca="1">IF(AND(ISNUMBER($BC$354),$B$185=1),$BC$354,HLOOKUP(INDIRECT(ADDRESS(2,COLUMN())),OFFSET($BN$2,0,0,ROW()-1,60),ROW()-1,FALSE))</f>
        <v/>
      </c>
      <c r="BD159" t="str">
        <f ca="1">IF(AND(ISNUMBER($BD$354),$B$185=1),$BD$354,HLOOKUP(INDIRECT(ADDRESS(2,COLUMN())),OFFSET($BN$2,0,0,ROW()-1,60),ROW()-1,FALSE))</f>
        <v/>
      </c>
      <c r="BE159" t="str">
        <f ca="1">IF(AND(ISNUMBER($BE$354),$B$185=1),$BE$354,HLOOKUP(INDIRECT(ADDRESS(2,COLUMN())),OFFSET($BN$2,0,0,ROW()-1,60),ROW()-1,FALSE))</f>
        <v/>
      </c>
      <c r="BF159" t="str">
        <f ca="1">IF(AND(ISNUMBER($BF$354),$B$185=1),$BF$354,HLOOKUP(INDIRECT(ADDRESS(2,COLUMN())),OFFSET($BN$2,0,0,ROW()-1,60),ROW()-1,FALSE))</f>
        <v/>
      </c>
      <c r="BG159" t="str">
        <f ca="1">IF(AND(ISNUMBER($BG$354),$B$185=1),$BG$354,HLOOKUP(INDIRECT(ADDRESS(2,COLUMN())),OFFSET($BN$2,0,0,ROW()-1,60),ROW()-1,FALSE))</f>
        <v/>
      </c>
      <c r="BH159" t="str">
        <f ca="1">IF(AND(ISNUMBER($BH$354),$B$185=1),$BH$354,HLOOKUP(INDIRECT(ADDRESS(2,COLUMN())),OFFSET($BN$2,0,0,ROW()-1,60),ROW()-1,FALSE))</f>
        <v/>
      </c>
      <c r="BI159" t="str">
        <f ca="1">IF(AND(ISNUMBER($BI$354),$B$185=1),$BI$354,HLOOKUP(INDIRECT(ADDRESS(2,COLUMN())),OFFSET($BN$2,0,0,ROW()-1,60),ROW()-1,FALSE))</f>
        <v/>
      </c>
      <c r="BJ159" t="str">
        <f ca="1">IF(AND(ISNUMBER($BJ$354),$B$185=1),$BJ$354,HLOOKUP(INDIRECT(ADDRESS(2,COLUMN())),OFFSET($BN$2,0,0,ROW()-1,60),ROW()-1,FALSE))</f>
        <v/>
      </c>
      <c r="BK159" t="str">
        <f ca="1">IF(AND(ISNUMBER($BK$354),$B$185=1),$BK$354,HLOOKUP(INDIRECT(ADDRESS(2,COLUMN())),OFFSET($BN$2,0,0,ROW()-1,60),ROW()-1,FALSE))</f>
        <v/>
      </c>
      <c r="BL159" t="str">
        <f ca="1">IF(AND(ISNUMBER($BL$354),$B$185=1),$BL$354,HLOOKUP(INDIRECT(ADDRESS(2,COLUMN())),OFFSET($BN$2,0,0,ROW()-1,60),ROW()-1,FALSE))</f>
        <v/>
      </c>
      <c r="BM159" t="str">
        <f ca="1">IF(AND(ISNUMBER($BM$354),$B$185=1),$BM$354,HLOOKUP(INDIRECT(ADDRESS(2,COLUMN())),OFFSET($BN$2,0,0,ROW()-1,60),ROW()-1,FALSE))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  <c r="BT159" t="str">
        <f>""</f>
        <v/>
      </c>
      <c r="BU159" t="str">
        <f>""</f>
        <v/>
      </c>
      <c r="BV159" t="str">
        <f>""</f>
        <v/>
      </c>
      <c r="BW159" t="str">
        <f>""</f>
        <v/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  <c r="CI159" t="str">
        <f>""</f>
        <v/>
      </c>
      <c r="CJ159" t="str">
        <f>""</f>
        <v/>
      </c>
      <c r="CK159" t="str">
        <f>""</f>
        <v/>
      </c>
      <c r="CL159" t="str">
        <f>""</f>
        <v/>
      </c>
      <c r="CM159" t="str">
        <f>""</f>
        <v/>
      </c>
      <c r="CN159" t="str">
        <f>""</f>
        <v/>
      </c>
      <c r="CO159" t="str">
        <f>""</f>
        <v/>
      </c>
      <c r="CP159" t="str">
        <f>""</f>
        <v/>
      </c>
      <c r="CQ159" t="str">
        <f>""</f>
        <v/>
      </c>
      <c r="CR159" t="str">
        <f>""</f>
        <v/>
      </c>
      <c r="CS159" t="str">
        <f>""</f>
        <v/>
      </c>
      <c r="CT159" t="str">
        <f>""</f>
        <v/>
      </c>
      <c r="CU159" t="str">
        <f>""</f>
        <v/>
      </c>
      <c r="CV159" t="str">
        <f>""</f>
        <v/>
      </c>
      <c r="CW159" t="str">
        <f>""</f>
        <v/>
      </c>
      <c r="CX159" t="str">
        <f>""</f>
        <v/>
      </c>
      <c r="CY159" t="str">
        <f>""</f>
        <v/>
      </c>
      <c r="CZ159" t="str">
        <f>""</f>
        <v/>
      </c>
      <c r="DA159" t="str">
        <f>""</f>
        <v/>
      </c>
      <c r="DB159" t="str">
        <f>""</f>
        <v/>
      </c>
      <c r="DC159" t="str">
        <f>""</f>
        <v/>
      </c>
      <c r="DD159" t="str">
        <f>""</f>
        <v/>
      </c>
      <c r="DE159" t="str">
        <f>""</f>
        <v/>
      </c>
      <c r="DF159" t="str">
        <f>""</f>
        <v/>
      </c>
      <c r="DG159" t="str">
        <f>""</f>
        <v/>
      </c>
      <c r="DH159" t="str">
        <f>""</f>
        <v/>
      </c>
      <c r="DI159" t="str">
        <f>""</f>
        <v/>
      </c>
      <c r="DJ159" t="str">
        <f>""</f>
        <v/>
      </c>
      <c r="DK159" t="str">
        <f>""</f>
        <v/>
      </c>
      <c r="DL159" t="str">
        <f>""</f>
        <v/>
      </c>
      <c r="DM159" t="str">
        <f>""</f>
        <v/>
      </c>
      <c r="DN159" t="str">
        <f>""</f>
        <v/>
      </c>
      <c r="DO159" t="str">
        <f>""</f>
        <v/>
      </c>
      <c r="DP159" t="str">
        <f>""</f>
        <v/>
      </c>
      <c r="DQ159" t="str">
        <f>""</f>
        <v/>
      </c>
      <c r="DR159" t="str">
        <f>""</f>
        <v/>
      </c>
      <c r="DS159" t="str">
        <f>""</f>
        <v/>
      </c>
      <c r="DT159" t="str">
        <f>""</f>
        <v/>
      </c>
      <c r="DU159" t="str">
        <f>""</f>
        <v/>
      </c>
    </row>
    <row r="160" spans="1:125">
      <c r="A160" t="str">
        <f>"    M&amp;T Bank Corp"</f>
        <v xml:space="preserve">    M&amp;T Bank Corp</v>
      </c>
      <c r="B160" t="str">
        <f>"MTB US Equity"</f>
        <v>MTB US Equity</v>
      </c>
      <c r="C160" t="str">
        <f t="shared" si="19"/>
        <v>BS963</v>
      </c>
      <c r="D160" t="str">
        <f t="shared" si="20"/>
        <v>BS_COMML_MTG_SERVICED_OTHERS</v>
      </c>
      <c r="E160" t="str">
        <f t="shared" si="21"/>
        <v>Dynamic</v>
      </c>
      <c r="F160">
        <f ca="1">IF(AND(ISNUMBER($F$355),$B$185=1),$F$355,HLOOKUP(INDIRECT(ADDRESS(2,COLUMN())),OFFSET($BN$2,0,0,ROW()-1,60),ROW()-1,FALSE))</f>
        <v>31537</v>
      </c>
      <c r="G160">
        <f ca="1">IF(AND(ISNUMBER($G$355),$B$185=1),$G$355,HLOOKUP(INDIRECT(ADDRESS(2,COLUMN())),OFFSET($BN$2,0,0,ROW()-1,60),ROW()-1,FALSE))</f>
        <v>29837</v>
      </c>
      <c r="H160">
        <f ca="1">IF(AND(ISNUMBER($H$355),$B$185=1),$H$355,HLOOKUP(INDIRECT(ADDRESS(2,COLUMN())),OFFSET($BN$2,0,0,ROW()-1,60),ROW()-1,FALSE))</f>
        <v>29468</v>
      </c>
      <c r="I160">
        <f ca="1">IF(AND(ISNUMBER($I$355),$B$185=1),$I$355,HLOOKUP(INDIRECT(ADDRESS(2,COLUMN())),OFFSET($BN$2,0,0,ROW()-1,60),ROW()-1,FALSE))</f>
        <v>28677</v>
      </c>
      <c r="J160">
        <f ca="1">IF(AND(ISNUMBER($J$355),$B$185=1),$J$355,HLOOKUP(INDIRECT(ADDRESS(2,COLUMN())),OFFSET($BN$2,0,0,ROW()-1,60),ROW()-1,FALSE))</f>
        <v>28030</v>
      </c>
      <c r="K160">
        <f ca="1">IF(AND(ISNUMBER($K$355),$B$185=1),$K$355,HLOOKUP(INDIRECT(ADDRESS(2,COLUMN())),OFFSET($BN$2,0,0,ROW()-1,60),ROW()-1,FALSE))</f>
        <v>27683.135999999999</v>
      </c>
      <c r="L160">
        <f ca="1">IF(AND(ISNUMBER($L$355),$B$185=1),$L$355,HLOOKUP(INDIRECT(ADDRESS(2,COLUMN())),OFFSET($BN$2,0,0,ROW()-1,60),ROW()-1,FALSE))</f>
        <v>26900</v>
      </c>
      <c r="M160">
        <f ca="1">IF(AND(ISNUMBER($M$355),$B$185=1),$M$355,HLOOKUP(INDIRECT(ADDRESS(2,COLUMN())),OFFSET($BN$2,0,0,ROW()-1,60),ROW()-1,FALSE))</f>
        <v>26200</v>
      </c>
      <c r="N160">
        <f ca="1">IF(AND(ISNUMBER($N$355),$B$185=1),$N$355,HLOOKUP(INDIRECT(ADDRESS(2,COLUMN())),OFFSET($BN$2,0,0,ROW()-1,60),ROW()-1,FALSE))</f>
        <v>26000</v>
      </c>
      <c r="O160">
        <f ca="1">IF(AND(ISNUMBER($O$355),$B$185=1),$O$355,HLOOKUP(INDIRECT(ADDRESS(2,COLUMN())),OFFSET($BN$2,0,0,ROW()-1,60),ROW()-1,FALSE))</f>
        <v>25100</v>
      </c>
      <c r="P160">
        <f ca="1">IF(AND(ISNUMBER($P$355),$B$185=1),$P$355,HLOOKUP(INDIRECT(ADDRESS(2,COLUMN())),OFFSET($BN$2,0,0,ROW()-1,60),ROW()-1,FALSE))</f>
        <v>24400</v>
      </c>
      <c r="Q160">
        <f ca="1">IF(AND(ISNUMBER($Q$355),$B$185=1),$Q$355,HLOOKUP(INDIRECT(ADDRESS(2,COLUMN())),OFFSET($BN$2,0,0,ROW()-1,60),ROW()-1,FALSE))</f>
        <v>22600</v>
      </c>
      <c r="R160">
        <f ca="1">IF(AND(ISNUMBER($R$355),$B$185=1),$R$355,HLOOKUP(INDIRECT(ADDRESS(2,COLUMN())),OFFSET($BN$2,0,0,ROW()-1,60),ROW()-1,FALSE))</f>
        <v>23700</v>
      </c>
      <c r="S160">
        <f ca="1">IF(AND(ISNUMBER($S$355),$B$185=1),$S$355,HLOOKUP(INDIRECT(ADDRESS(2,COLUMN())),OFFSET($BN$2,0,0,ROW()-1,60),ROW()-1,FALSE))</f>
        <v>73200</v>
      </c>
      <c r="T160">
        <f ca="1">IF(AND(ISNUMBER($T$355),$B$185=1),$T$355,HLOOKUP(INDIRECT(ADDRESS(2,COLUMN())),OFFSET($BN$2,0,0,ROW()-1,60),ROW()-1,FALSE))</f>
        <v>72600</v>
      </c>
      <c r="U160">
        <f ca="1">IF(AND(ISNUMBER($U$355),$B$185=1),$U$355,HLOOKUP(INDIRECT(ADDRESS(2,COLUMN())),OFFSET($BN$2,0,0,ROW()-1,60),ROW()-1,FALSE))</f>
        <v>23500</v>
      </c>
      <c r="V160">
        <f ca="1">IF(AND(ISNUMBER($V$355),$B$185=1),$V$355,HLOOKUP(INDIRECT(ADDRESS(2,COLUMN())),OFFSET($BN$2,0,0,ROW()-1,60),ROW()-1,FALSE))</f>
        <v>22200</v>
      </c>
      <c r="W160">
        <f ca="1">IF(AND(ISNUMBER($W$355),$B$185=1),$W$355,HLOOKUP(INDIRECT(ADDRESS(2,COLUMN())),OFFSET($BN$2,0,0,ROW()-1,60),ROW()-1,FALSE))</f>
        <v>336</v>
      </c>
      <c r="X160">
        <f ca="1">IF(AND(ISNUMBER($X$355),$B$185=1),$X$355,HLOOKUP(INDIRECT(ADDRESS(2,COLUMN())),OFFSET($BN$2,0,0,ROW()-1,60),ROW()-1,FALSE))</f>
        <v>64700</v>
      </c>
      <c r="Y160">
        <f ca="1">IF(AND(ISNUMBER($Y$355),$B$185=1),$Y$355,HLOOKUP(INDIRECT(ADDRESS(2,COLUMN())),OFFSET($BN$2,0,0,ROW()-1,60),ROW()-1,FALSE))</f>
        <v>61937</v>
      </c>
      <c r="Z160">
        <f ca="1">IF(AND(ISNUMBER($Z$355),$B$185=1),$Z$355,HLOOKUP(INDIRECT(ADDRESS(2,COLUMN())),OFFSET($BN$2,0,0,ROW()-1,60),ROW()-1,FALSE))</f>
        <v>21000</v>
      </c>
      <c r="AA160">
        <f ca="1">IF(AND(ISNUMBER($AA$355),$B$185=1),$AA$355,HLOOKUP(INDIRECT(ADDRESS(2,COLUMN())),OFFSET($BN$2,0,0,ROW()-1,60),ROW()-1,FALSE))</f>
        <v>65133</v>
      </c>
      <c r="AB160">
        <f ca="1">IF(AND(ISNUMBER($AB$355),$B$185=1),$AB$355,HLOOKUP(INDIRECT(ADDRESS(2,COLUMN())),OFFSET($BN$2,0,0,ROW()-1,60),ROW()-1,FALSE))</f>
        <v>68700</v>
      </c>
      <c r="AC160">
        <f ca="1">IF(AND(ISNUMBER($AC$355),$B$185=1),$AC$355,HLOOKUP(INDIRECT(ADDRESS(2,COLUMN())),OFFSET($BN$2,0,0,ROW()-1,60),ROW()-1,FALSE))</f>
        <v>54928</v>
      </c>
      <c r="AD160">
        <f ca="1">IF(AND(ISNUMBER($AD$355),$B$185=1),$AD$355,HLOOKUP(INDIRECT(ADDRESS(2,COLUMN())),OFFSET($BN$2,0,0,ROW()-1,60),ROW()-1,FALSE))</f>
        <v>18200</v>
      </c>
      <c r="AE160">
        <f ca="1">IF(AND(ISNUMBER($AE$355),$B$185=1),$AE$355,HLOOKUP(INDIRECT(ADDRESS(2,COLUMN())),OFFSET($BN$2,0,0,ROW()-1,60),ROW()-1,FALSE))</f>
        <v>60328</v>
      </c>
      <c r="AF160">
        <f ca="1">IF(AND(ISNUMBER($AF$355),$B$185=1),$AF$355,HLOOKUP(INDIRECT(ADDRESS(2,COLUMN())),OFFSET($BN$2,0,0,ROW()-1,60),ROW()-1,FALSE))</f>
        <v>53528</v>
      </c>
      <c r="AG160">
        <f ca="1">IF(AND(ISNUMBER($AG$355),$B$185=1),$AG$355,HLOOKUP(INDIRECT(ADDRESS(2,COLUMN())),OFFSET($BN$2,0,0,ROW()-1,60),ROW()-1,FALSE))</f>
        <v>55830</v>
      </c>
      <c r="AH160">
        <f ca="1">IF(AND(ISNUMBER($AH$355),$B$185=1),$AH$355,HLOOKUP(INDIRECT(ADDRESS(2,COLUMN())),OFFSET($BN$2,0,0,ROW()-1,60),ROW()-1,FALSE))</f>
        <v>16200</v>
      </c>
      <c r="AI160">
        <f ca="1">IF(AND(ISNUMBER($AI$355),$B$185=1),$AI$355,HLOOKUP(INDIRECT(ADDRESS(2,COLUMN())),OFFSET($BN$2,0,0,ROW()-1,60),ROW()-1,FALSE))</f>
        <v>59326</v>
      </c>
      <c r="AJ160">
        <f ca="1">IF(AND(ISNUMBER($AJ$355),$B$185=1),$AJ$355,HLOOKUP(INDIRECT(ADDRESS(2,COLUMN())),OFFSET($BN$2,0,0,ROW()-1,60),ROW()-1,FALSE))</f>
        <v>49925</v>
      </c>
      <c r="AK160">
        <f ca="1">IF(AND(ISNUMBER($AK$355),$B$185=1),$AK$355,HLOOKUP(INDIRECT(ADDRESS(2,COLUMN())),OFFSET($BN$2,0,0,ROW()-1,60),ROW()-1,FALSE))</f>
        <v>40823</v>
      </c>
      <c r="AL160">
        <f ca="1">IF(AND(ISNUMBER($AL$355),$B$185=1),$AL$355,HLOOKUP(INDIRECT(ADDRESS(2,COLUMN())),OFFSET($BN$2,0,0,ROW()-1,60),ROW()-1,FALSE))</f>
        <v>11800</v>
      </c>
      <c r="AM160">
        <f ca="1">IF(AND(ISNUMBER($AM$355),$B$185=1),$AM$355,HLOOKUP(INDIRECT(ADDRESS(2,COLUMN())),OFFSET($BN$2,0,0,ROW()-1,60),ROW()-1,FALSE))</f>
        <v>32125</v>
      </c>
      <c r="AN160">
        <f ca="1">IF(AND(ISNUMBER($AN$355),$B$185=1),$AN$355,HLOOKUP(INDIRECT(ADDRESS(2,COLUMN())),OFFSET($BN$2,0,0,ROW()-1,60),ROW()-1,FALSE))</f>
        <v>34625</v>
      </c>
      <c r="AO160">
        <f ca="1">IF(AND(ISNUMBER($AO$355),$B$185=1),$AO$355,HLOOKUP(INDIRECT(ADDRESS(2,COLUMN())),OFFSET($BN$2,0,0,ROW()-1,60),ROW()-1,FALSE))</f>
        <v>59300</v>
      </c>
      <c r="AP160">
        <f ca="1">IF(AND(ISNUMBER($AP$355),$B$185=1),$AP$355,HLOOKUP(INDIRECT(ADDRESS(2,COLUMN())),OFFSET($BN$2,0,0,ROW()-1,60),ROW()-1,FALSE))</f>
        <v>11000</v>
      </c>
      <c r="AQ160">
        <f ca="1">IF(AND(ISNUMBER($AQ$355),$B$185=1),$AQ$355,HLOOKUP(INDIRECT(ADDRESS(2,COLUMN())),OFFSET($BN$2,0,0,ROW()-1,60),ROW()-1,FALSE))</f>
        <v>40226</v>
      </c>
      <c r="AR160">
        <f ca="1">IF(AND(ISNUMBER($AR$355),$B$185=1),$AR$355,HLOOKUP(INDIRECT(ADDRESS(2,COLUMN())),OFFSET($BN$2,0,0,ROW()-1,60),ROW()-1,FALSE))</f>
        <v>42330</v>
      </c>
      <c r="AS160">
        <f ca="1">IF(AND(ISNUMBER($AS$355),$B$185=1),$AS$355,HLOOKUP(INDIRECT(ADDRESS(2,COLUMN())),OFFSET($BN$2,0,0,ROW()-1,60),ROW()-1,FALSE))</f>
        <v>40435</v>
      </c>
      <c r="AT160">
        <f ca="1">IF(AND(ISNUMBER($AT$355),$B$185=1),$AT$355,HLOOKUP(INDIRECT(ADDRESS(2,COLUMN())),OFFSET($BN$2,0,0,ROW()-1,60),ROW()-1,FALSE))</f>
        <v>14800</v>
      </c>
      <c r="AU160">
        <f ca="1">IF(AND(ISNUMBER($AU$355),$B$185=1),$AU$355,HLOOKUP(INDIRECT(ADDRESS(2,COLUMN())),OFFSET($BN$2,0,0,ROW()-1,60),ROW()-1,FALSE))</f>
        <v>14200</v>
      </c>
      <c r="AV160">
        <f ca="1">IF(AND(ISNUMBER($AV$355),$B$185=1),$AV$355,HLOOKUP(INDIRECT(ADDRESS(2,COLUMN())),OFFSET($BN$2,0,0,ROW()-1,60),ROW()-1,FALSE))</f>
        <v>14100</v>
      </c>
      <c r="AW160">
        <f ca="1">IF(AND(ISNUMBER($AW$355),$B$185=1),$AW$355,HLOOKUP(INDIRECT(ADDRESS(2,COLUMN())),OFFSET($BN$2,0,0,ROW()-1,60),ROW()-1,FALSE))</f>
        <v>46500</v>
      </c>
      <c r="AX160">
        <f ca="1">IF(AND(ISNUMBER($AX$355),$B$185=1),$AX$355,HLOOKUP(INDIRECT(ADDRESS(2,COLUMN())),OFFSET($BN$2,0,0,ROW()-1,60),ROW()-1,FALSE))</f>
        <v>73500</v>
      </c>
      <c r="AY160">
        <f ca="1">IF(AND(ISNUMBER($AY$355),$B$185=1),$AY$355,HLOOKUP(INDIRECT(ADDRESS(2,COLUMN())),OFFSET($BN$2,0,0,ROW()-1,60),ROW()-1,FALSE))</f>
        <v>14500</v>
      </c>
      <c r="AZ160">
        <f ca="1">IF(AND(ISNUMBER($AZ$355),$B$185=1),$AZ$355,HLOOKUP(INDIRECT(ADDRESS(2,COLUMN())),OFFSET($BN$2,0,0,ROW()-1,60),ROW()-1,FALSE))</f>
        <v>14800</v>
      </c>
      <c r="BA160">
        <f ca="1">IF(AND(ISNUMBER($BA$355),$B$185=1),$BA$355,HLOOKUP(INDIRECT(ADDRESS(2,COLUMN())),OFFSET($BN$2,0,0,ROW()-1,60),ROW()-1,FALSE))</f>
        <v>14600</v>
      </c>
      <c r="BB160">
        <f ca="1">IF(AND(ISNUMBER($BB$355),$B$185=1),$BB$355,HLOOKUP(INDIRECT(ADDRESS(2,COLUMN())),OFFSET($BN$2,0,0,ROW()-1,60),ROW()-1,FALSE))</f>
        <v>14400</v>
      </c>
      <c r="BC160">
        <f ca="1">IF(AND(ISNUMBER($BC$355),$B$185=1),$BC$355,HLOOKUP(INDIRECT(ADDRESS(2,COLUMN())),OFFSET($BN$2,0,0,ROW()-1,60),ROW()-1,FALSE))</f>
        <v>14100</v>
      </c>
      <c r="BD160">
        <f ca="1">IF(AND(ISNUMBER($BD$355),$B$185=1),$BD$355,HLOOKUP(INDIRECT(ADDRESS(2,COLUMN())),OFFSET($BN$2,0,0,ROW()-1,60),ROW()-1,FALSE))</f>
        <v>14000</v>
      </c>
      <c r="BE160">
        <f ca="1">IF(AND(ISNUMBER($BE$355),$B$185=1),$BE$355,HLOOKUP(INDIRECT(ADDRESS(2,COLUMN())),OFFSET($BN$2,0,0,ROW()-1,60),ROW()-1,FALSE))</f>
        <v>13900</v>
      </c>
      <c r="BF160">
        <f ca="1">IF(AND(ISNUMBER($BF$355),$B$185=1),$BF$355,HLOOKUP(INDIRECT(ADDRESS(2,COLUMN())),OFFSET($BN$2,0,0,ROW()-1,60),ROW()-1,FALSE))</f>
        <v>13400</v>
      </c>
      <c r="BG160">
        <f ca="1">IF(AND(ISNUMBER($BG$355),$B$185=1),$BG$355,HLOOKUP(INDIRECT(ADDRESS(2,COLUMN())),OFFSET($BN$2,0,0,ROW()-1,60),ROW()-1,FALSE))</f>
        <v>13500</v>
      </c>
      <c r="BH160">
        <f ca="1">IF(AND(ISNUMBER($BH$355),$B$185=1),$BH$355,HLOOKUP(INDIRECT(ADDRESS(2,COLUMN())),OFFSET($BN$2,0,0,ROW()-1,60),ROW()-1,FALSE))</f>
        <v>13300</v>
      </c>
      <c r="BI160">
        <f ca="1">IF(AND(ISNUMBER($BI$355),$B$185=1),$BI$355,HLOOKUP(INDIRECT(ADDRESS(2,COLUMN())),OFFSET($BN$2,0,0,ROW()-1,60),ROW()-1,FALSE))</f>
        <v>13400</v>
      </c>
      <c r="BJ160">
        <f ca="1">IF(AND(ISNUMBER($BJ$355),$B$185=1),$BJ$355,HLOOKUP(INDIRECT(ADDRESS(2,COLUMN())),OFFSET($BN$2,0,0,ROW()-1,60),ROW()-1,FALSE))</f>
        <v>13300</v>
      </c>
      <c r="BK160">
        <f ca="1">IF(AND(ISNUMBER($BK$355),$B$185=1),$BK$355,HLOOKUP(INDIRECT(ADDRESS(2,COLUMN())),OFFSET($BN$2,0,0,ROW()-1,60),ROW()-1,FALSE))</f>
        <v>13100</v>
      </c>
      <c r="BL160">
        <f ca="1">IF(AND(ISNUMBER($BL$355),$B$185=1),$BL$355,HLOOKUP(INDIRECT(ADDRESS(2,COLUMN())),OFFSET($BN$2,0,0,ROW()-1,60),ROW()-1,FALSE))</f>
        <v>13200</v>
      </c>
      <c r="BM160" t="str">
        <f ca="1">IF(AND(ISNUMBER($BM$355),$B$185=1),$BM$355,HLOOKUP(INDIRECT(ADDRESS(2,COLUMN())),OFFSET($BN$2,0,0,ROW()-1,60),ROW()-1,FALSE))</f>
        <v/>
      </c>
      <c r="BN160">
        <f>31537</f>
        <v>31537</v>
      </c>
      <c r="BO160">
        <f>29837</f>
        <v>29837</v>
      </c>
      <c r="BP160">
        <f>29468</f>
        <v>29468</v>
      </c>
      <c r="BQ160">
        <f>28677</f>
        <v>28677</v>
      </c>
      <c r="BR160">
        <f>28030</f>
        <v>28030</v>
      </c>
      <c r="BS160">
        <f>27683.136</f>
        <v>27683.135999999999</v>
      </c>
      <c r="BT160">
        <f>26900</f>
        <v>26900</v>
      </c>
      <c r="BU160">
        <f>26200</f>
        <v>26200</v>
      </c>
      <c r="BV160">
        <f>26000</f>
        <v>26000</v>
      </c>
      <c r="BW160">
        <f>25100</f>
        <v>25100</v>
      </c>
      <c r="BX160">
        <f>24400</f>
        <v>24400</v>
      </c>
      <c r="BY160">
        <f>22600</f>
        <v>22600</v>
      </c>
      <c r="BZ160">
        <f>23700</f>
        <v>23700</v>
      </c>
      <c r="CA160">
        <f>73200</f>
        <v>73200</v>
      </c>
      <c r="CB160">
        <f>72600</f>
        <v>72600</v>
      </c>
      <c r="CC160">
        <f>23500</f>
        <v>23500</v>
      </c>
      <c r="CD160">
        <f>22200</f>
        <v>22200</v>
      </c>
      <c r="CE160">
        <f>336</f>
        <v>336</v>
      </c>
      <c r="CF160">
        <f>64700</f>
        <v>64700</v>
      </c>
      <c r="CG160">
        <f>61937</f>
        <v>61937</v>
      </c>
      <c r="CH160">
        <f>21000</f>
        <v>21000</v>
      </c>
      <c r="CI160">
        <f>65133</f>
        <v>65133</v>
      </c>
      <c r="CJ160">
        <f>68700</f>
        <v>68700</v>
      </c>
      <c r="CK160">
        <f>54928</f>
        <v>54928</v>
      </c>
      <c r="CL160">
        <f>18200</f>
        <v>18200</v>
      </c>
      <c r="CM160">
        <f>60328</f>
        <v>60328</v>
      </c>
      <c r="CN160">
        <f>53528</f>
        <v>53528</v>
      </c>
      <c r="CO160">
        <f>55830</f>
        <v>55830</v>
      </c>
      <c r="CP160">
        <f>16200</f>
        <v>16200</v>
      </c>
      <c r="CQ160">
        <f>59326</f>
        <v>59326</v>
      </c>
      <c r="CR160">
        <f>49925</f>
        <v>49925</v>
      </c>
      <c r="CS160">
        <f>40823</f>
        <v>40823</v>
      </c>
      <c r="CT160">
        <f>11800</f>
        <v>11800</v>
      </c>
      <c r="CU160">
        <f>32125</f>
        <v>32125</v>
      </c>
      <c r="CV160">
        <f>34625</f>
        <v>34625</v>
      </c>
      <c r="CW160">
        <f>59300</f>
        <v>59300</v>
      </c>
      <c r="CX160">
        <f>11000</f>
        <v>11000</v>
      </c>
      <c r="CY160">
        <f>40226</f>
        <v>40226</v>
      </c>
      <c r="CZ160">
        <f>42330</f>
        <v>42330</v>
      </c>
      <c r="DA160">
        <f>40435</f>
        <v>40435</v>
      </c>
      <c r="DB160">
        <f>14800</f>
        <v>14800</v>
      </c>
      <c r="DC160">
        <f>14200</f>
        <v>14200</v>
      </c>
      <c r="DD160">
        <f>14100</f>
        <v>14100</v>
      </c>
      <c r="DE160">
        <f>46500</f>
        <v>46500</v>
      </c>
      <c r="DF160">
        <f>73500</f>
        <v>73500</v>
      </c>
      <c r="DG160">
        <f>14500</f>
        <v>14500</v>
      </c>
      <c r="DH160">
        <f>14800</f>
        <v>14800</v>
      </c>
      <c r="DI160">
        <f>14600</f>
        <v>14600</v>
      </c>
      <c r="DJ160">
        <f>14400</f>
        <v>14400</v>
      </c>
      <c r="DK160">
        <f>14100</f>
        <v>14100</v>
      </c>
      <c r="DL160">
        <f>14000</f>
        <v>14000</v>
      </c>
      <c r="DM160">
        <f>13900</f>
        <v>13900</v>
      </c>
      <c r="DN160">
        <f>13400</f>
        <v>13400</v>
      </c>
      <c r="DO160">
        <f>13500</f>
        <v>13500</v>
      </c>
      <c r="DP160">
        <f>13300</f>
        <v>13300</v>
      </c>
      <c r="DQ160">
        <f>13400</f>
        <v>13400</v>
      </c>
      <c r="DR160">
        <f>13300</f>
        <v>13300</v>
      </c>
      <c r="DS160">
        <f>13100</f>
        <v>13100</v>
      </c>
      <c r="DT160">
        <f>13200</f>
        <v>13200</v>
      </c>
      <c r="DU160" t="str">
        <f>""</f>
        <v/>
      </c>
    </row>
    <row r="161" spans="1:125">
      <c r="A161" t="str">
        <f>"    PNC Financial Services Group I"</f>
        <v xml:space="preserve">    PNC Financial Services Group I</v>
      </c>
      <c r="B161" t="str">
        <f>"PNC US Equity"</f>
        <v>PNC US Equity</v>
      </c>
      <c r="C161" t="str">
        <f t="shared" si="19"/>
        <v>BS963</v>
      </c>
      <c r="D161" t="str">
        <f t="shared" si="20"/>
        <v>BS_COMML_MTG_SERVICED_OTHERS</v>
      </c>
      <c r="E161" t="str">
        <f t="shared" si="21"/>
        <v>Dynamic</v>
      </c>
      <c r="F161" t="str">
        <f ca="1">IF(AND(ISNUMBER($F$356),$B$185=1),$F$356,HLOOKUP(INDIRECT(ADDRESS(2,COLUMN())),OFFSET($BN$2,0,0,ROW()-1,60),ROW()-1,FALSE))</f>
        <v/>
      </c>
      <c r="G161" t="str">
        <f ca="1">IF(AND(ISNUMBER($G$356),$B$185=1),$G$356,HLOOKUP(INDIRECT(ADDRESS(2,COLUMN())),OFFSET($BN$2,0,0,ROW()-1,60),ROW()-1,FALSE))</f>
        <v/>
      </c>
      <c r="H161" t="str">
        <f ca="1">IF(AND(ISNUMBER($H$356),$B$185=1),$H$356,HLOOKUP(INDIRECT(ADDRESS(2,COLUMN())),OFFSET($BN$2,0,0,ROW()-1,60),ROW()-1,FALSE))</f>
        <v/>
      </c>
      <c r="I161" t="str">
        <f ca="1">IF(AND(ISNUMBER($I$356),$B$185=1),$I$356,HLOOKUP(INDIRECT(ADDRESS(2,COLUMN())),OFFSET($BN$2,0,0,ROW()-1,60),ROW()-1,FALSE))</f>
        <v/>
      </c>
      <c r="J161" t="str">
        <f ca="1">IF(AND(ISNUMBER($J$356),$B$185=1),$J$356,HLOOKUP(INDIRECT(ADDRESS(2,COLUMN())),OFFSET($BN$2,0,0,ROW()-1,60),ROW()-1,FALSE))</f>
        <v/>
      </c>
      <c r="K161" t="str">
        <f ca="1">IF(AND(ISNUMBER($K$356),$B$185=1),$K$356,HLOOKUP(INDIRECT(ADDRESS(2,COLUMN())),OFFSET($BN$2,0,0,ROW()-1,60),ROW()-1,FALSE))</f>
        <v/>
      </c>
      <c r="L161" t="str">
        <f ca="1">IF(AND(ISNUMBER($L$356),$B$185=1),$L$356,HLOOKUP(INDIRECT(ADDRESS(2,COLUMN())),OFFSET($BN$2,0,0,ROW()-1,60),ROW()-1,FALSE))</f>
        <v/>
      </c>
      <c r="M161" t="str">
        <f ca="1">IF(AND(ISNUMBER($M$356),$B$185=1),$M$356,HLOOKUP(INDIRECT(ADDRESS(2,COLUMN())),OFFSET($BN$2,0,0,ROW()-1,60),ROW()-1,FALSE))</f>
        <v/>
      </c>
      <c r="N161" t="str">
        <f ca="1">IF(AND(ISNUMBER($N$356),$B$185=1),$N$356,HLOOKUP(INDIRECT(ADDRESS(2,COLUMN())),OFFSET($BN$2,0,0,ROW()-1,60),ROW()-1,FALSE))</f>
        <v/>
      </c>
      <c r="O161" t="str">
        <f ca="1">IF(AND(ISNUMBER($O$356),$B$185=1),$O$356,HLOOKUP(INDIRECT(ADDRESS(2,COLUMN())),OFFSET($BN$2,0,0,ROW()-1,60),ROW()-1,FALSE))</f>
        <v/>
      </c>
      <c r="P161" t="str">
        <f ca="1">IF(AND(ISNUMBER($P$356),$B$185=1),$P$356,HLOOKUP(INDIRECT(ADDRESS(2,COLUMN())),OFFSET($BN$2,0,0,ROW()-1,60),ROW()-1,FALSE))</f>
        <v/>
      </c>
      <c r="Q161" t="str">
        <f ca="1">IF(AND(ISNUMBER($Q$356),$B$185=1),$Q$356,HLOOKUP(INDIRECT(ADDRESS(2,COLUMN())),OFFSET($BN$2,0,0,ROW()-1,60),ROW()-1,FALSE))</f>
        <v/>
      </c>
      <c r="R161" t="str">
        <f ca="1">IF(AND(ISNUMBER($R$356),$B$185=1),$R$356,HLOOKUP(INDIRECT(ADDRESS(2,COLUMN())),OFFSET($BN$2,0,0,ROW()-1,60),ROW()-1,FALSE))</f>
        <v/>
      </c>
      <c r="S161" t="str">
        <f ca="1">IF(AND(ISNUMBER($S$356),$B$185=1),$S$356,HLOOKUP(INDIRECT(ADDRESS(2,COLUMN())),OFFSET($BN$2,0,0,ROW()-1,60),ROW()-1,FALSE))</f>
        <v/>
      </c>
      <c r="T161" t="str">
        <f ca="1">IF(AND(ISNUMBER($T$356),$B$185=1),$T$356,HLOOKUP(INDIRECT(ADDRESS(2,COLUMN())),OFFSET($BN$2,0,0,ROW()-1,60),ROW()-1,FALSE))</f>
        <v/>
      </c>
      <c r="U161" t="str">
        <f ca="1">IF(AND(ISNUMBER($U$356),$B$185=1),$U$356,HLOOKUP(INDIRECT(ADDRESS(2,COLUMN())),OFFSET($BN$2,0,0,ROW()-1,60),ROW()-1,FALSE))</f>
        <v/>
      </c>
      <c r="V161" t="str">
        <f ca="1">IF(AND(ISNUMBER($V$356),$B$185=1),$V$356,HLOOKUP(INDIRECT(ADDRESS(2,COLUMN())),OFFSET($BN$2,0,0,ROW()-1,60),ROW()-1,FALSE))</f>
        <v/>
      </c>
      <c r="W161" t="str">
        <f ca="1">IF(AND(ISNUMBER($W$356),$B$185=1),$W$356,HLOOKUP(INDIRECT(ADDRESS(2,COLUMN())),OFFSET($BN$2,0,0,ROW()-1,60),ROW()-1,FALSE))</f>
        <v/>
      </c>
      <c r="X161" t="str">
        <f ca="1">IF(AND(ISNUMBER($X$356),$B$185=1),$X$356,HLOOKUP(INDIRECT(ADDRESS(2,COLUMN())),OFFSET($BN$2,0,0,ROW()-1,60),ROW()-1,FALSE))</f>
        <v/>
      </c>
      <c r="Y161" t="str">
        <f ca="1">IF(AND(ISNUMBER($Y$356),$B$185=1),$Y$356,HLOOKUP(INDIRECT(ADDRESS(2,COLUMN())),OFFSET($BN$2,0,0,ROW()-1,60),ROW()-1,FALSE))</f>
        <v/>
      </c>
      <c r="Z161" t="str">
        <f ca="1">IF(AND(ISNUMBER($Z$356),$B$185=1),$Z$356,HLOOKUP(INDIRECT(ADDRESS(2,COLUMN())),OFFSET($BN$2,0,0,ROW()-1,60),ROW()-1,FALSE))</f>
        <v/>
      </c>
      <c r="AA161" t="str">
        <f ca="1">IF(AND(ISNUMBER($AA$356),$B$185=1),$AA$356,HLOOKUP(INDIRECT(ADDRESS(2,COLUMN())),OFFSET($BN$2,0,0,ROW()-1,60),ROW()-1,FALSE))</f>
        <v/>
      </c>
      <c r="AB161" t="str">
        <f ca="1">IF(AND(ISNUMBER($AB$356),$B$185=1),$AB$356,HLOOKUP(INDIRECT(ADDRESS(2,COLUMN())),OFFSET($BN$2,0,0,ROW()-1,60),ROW()-1,FALSE))</f>
        <v/>
      </c>
      <c r="AC161" t="str">
        <f ca="1">IF(AND(ISNUMBER($AC$356),$B$185=1),$AC$356,HLOOKUP(INDIRECT(ADDRESS(2,COLUMN())),OFFSET($BN$2,0,0,ROW()-1,60),ROW()-1,FALSE))</f>
        <v/>
      </c>
      <c r="AD161" t="str">
        <f ca="1">IF(AND(ISNUMBER($AD$356),$B$185=1),$AD$356,HLOOKUP(INDIRECT(ADDRESS(2,COLUMN())),OFFSET($BN$2,0,0,ROW()-1,60),ROW()-1,FALSE))</f>
        <v/>
      </c>
      <c r="AE161" t="str">
        <f ca="1">IF(AND(ISNUMBER($AE$356),$B$185=1),$AE$356,HLOOKUP(INDIRECT(ADDRESS(2,COLUMN())),OFFSET($BN$2,0,0,ROW()-1,60),ROW()-1,FALSE))</f>
        <v/>
      </c>
      <c r="AF161" t="str">
        <f ca="1">IF(AND(ISNUMBER($AF$356),$B$185=1),$AF$356,HLOOKUP(INDIRECT(ADDRESS(2,COLUMN())),OFFSET($BN$2,0,0,ROW()-1,60),ROW()-1,FALSE))</f>
        <v/>
      </c>
      <c r="AG161" t="str">
        <f ca="1">IF(AND(ISNUMBER($AG$356),$B$185=1),$AG$356,HLOOKUP(INDIRECT(ADDRESS(2,COLUMN())),OFFSET($BN$2,0,0,ROW()-1,60),ROW()-1,FALSE))</f>
        <v/>
      </c>
      <c r="AH161" t="str">
        <f ca="1">IF(AND(ISNUMBER($AH$356),$B$185=1),$AH$356,HLOOKUP(INDIRECT(ADDRESS(2,COLUMN())),OFFSET($BN$2,0,0,ROW()-1,60),ROW()-1,FALSE))</f>
        <v/>
      </c>
      <c r="AI161" t="str">
        <f ca="1">IF(AND(ISNUMBER($AI$356),$B$185=1),$AI$356,HLOOKUP(INDIRECT(ADDRESS(2,COLUMN())),OFFSET($BN$2,0,0,ROW()-1,60),ROW()-1,FALSE))</f>
        <v/>
      </c>
      <c r="AJ161" t="str">
        <f ca="1">IF(AND(ISNUMBER($AJ$356),$B$185=1),$AJ$356,HLOOKUP(INDIRECT(ADDRESS(2,COLUMN())),OFFSET($BN$2,0,0,ROW()-1,60),ROW()-1,FALSE))</f>
        <v/>
      </c>
      <c r="AK161" t="str">
        <f ca="1">IF(AND(ISNUMBER($AK$356),$B$185=1),$AK$356,HLOOKUP(INDIRECT(ADDRESS(2,COLUMN())),OFFSET($BN$2,0,0,ROW()-1,60),ROW()-1,FALSE))</f>
        <v/>
      </c>
      <c r="AL161" t="str">
        <f ca="1">IF(AND(ISNUMBER($AL$356),$B$185=1),$AL$356,HLOOKUP(INDIRECT(ADDRESS(2,COLUMN())),OFFSET($BN$2,0,0,ROW()-1,60),ROW()-1,FALSE))</f>
        <v/>
      </c>
      <c r="AM161" t="str">
        <f ca="1">IF(AND(ISNUMBER($AM$356),$B$185=1),$AM$356,HLOOKUP(INDIRECT(ADDRESS(2,COLUMN())),OFFSET($BN$2,0,0,ROW()-1,60),ROW()-1,FALSE))</f>
        <v/>
      </c>
      <c r="AN161" t="str">
        <f ca="1">IF(AND(ISNUMBER($AN$356),$B$185=1),$AN$356,HLOOKUP(INDIRECT(ADDRESS(2,COLUMN())),OFFSET($BN$2,0,0,ROW()-1,60),ROW()-1,FALSE))</f>
        <v/>
      </c>
      <c r="AO161" t="str">
        <f ca="1">IF(AND(ISNUMBER($AO$356),$B$185=1),$AO$356,HLOOKUP(INDIRECT(ADDRESS(2,COLUMN())),OFFSET($BN$2,0,0,ROW()-1,60),ROW()-1,FALSE))</f>
        <v/>
      </c>
      <c r="AP161" t="str">
        <f ca="1">IF(AND(ISNUMBER($AP$356),$B$185=1),$AP$356,HLOOKUP(INDIRECT(ADDRESS(2,COLUMN())),OFFSET($BN$2,0,0,ROW()-1,60),ROW()-1,FALSE))</f>
        <v/>
      </c>
      <c r="AQ161" t="str">
        <f ca="1">IF(AND(ISNUMBER($AQ$356),$B$185=1),$AQ$356,HLOOKUP(INDIRECT(ADDRESS(2,COLUMN())),OFFSET($BN$2,0,0,ROW()-1,60),ROW()-1,FALSE))</f>
        <v/>
      </c>
      <c r="AR161" t="str">
        <f ca="1">IF(AND(ISNUMBER($AR$356),$B$185=1),$AR$356,HLOOKUP(INDIRECT(ADDRESS(2,COLUMN())),OFFSET($BN$2,0,0,ROW()-1,60),ROW()-1,FALSE))</f>
        <v/>
      </c>
      <c r="AS161" t="str">
        <f ca="1">IF(AND(ISNUMBER($AS$356),$B$185=1),$AS$356,HLOOKUP(INDIRECT(ADDRESS(2,COLUMN())),OFFSET($BN$2,0,0,ROW()-1,60),ROW()-1,FALSE))</f>
        <v/>
      </c>
      <c r="AT161" t="str">
        <f ca="1">IF(AND(ISNUMBER($AT$356),$B$185=1),$AT$356,HLOOKUP(INDIRECT(ADDRESS(2,COLUMN())),OFFSET($BN$2,0,0,ROW()-1,60),ROW()-1,FALSE))</f>
        <v/>
      </c>
      <c r="AU161" t="str">
        <f ca="1">IF(AND(ISNUMBER($AU$356),$B$185=1),$AU$356,HLOOKUP(INDIRECT(ADDRESS(2,COLUMN())),OFFSET($BN$2,0,0,ROW()-1,60),ROW()-1,FALSE))</f>
        <v/>
      </c>
      <c r="AV161" t="str">
        <f ca="1">IF(AND(ISNUMBER($AV$356),$B$185=1),$AV$356,HLOOKUP(INDIRECT(ADDRESS(2,COLUMN())),OFFSET($BN$2,0,0,ROW()-1,60),ROW()-1,FALSE))</f>
        <v/>
      </c>
      <c r="AW161" t="str">
        <f ca="1">IF(AND(ISNUMBER($AW$356),$B$185=1),$AW$356,HLOOKUP(INDIRECT(ADDRESS(2,COLUMN())),OFFSET($BN$2,0,0,ROW()-1,60),ROW()-1,FALSE))</f>
        <v/>
      </c>
      <c r="AX161" t="str">
        <f ca="1">IF(AND(ISNUMBER($AX$356),$B$185=1),$AX$356,HLOOKUP(INDIRECT(ADDRESS(2,COLUMN())),OFFSET($BN$2,0,0,ROW()-1,60),ROW()-1,FALSE))</f>
        <v/>
      </c>
      <c r="AY161" t="str">
        <f ca="1">IF(AND(ISNUMBER($AY$356),$B$185=1),$AY$356,HLOOKUP(INDIRECT(ADDRESS(2,COLUMN())),OFFSET($BN$2,0,0,ROW()-1,60),ROW()-1,FALSE))</f>
        <v/>
      </c>
      <c r="AZ161" t="str">
        <f ca="1">IF(AND(ISNUMBER($AZ$356),$B$185=1),$AZ$356,HLOOKUP(INDIRECT(ADDRESS(2,COLUMN())),OFFSET($BN$2,0,0,ROW()-1,60),ROW()-1,FALSE))</f>
        <v/>
      </c>
      <c r="BA161" t="str">
        <f ca="1">IF(AND(ISNUMBER($BA$356),$B$185=1),$BA$356,HLOOKUP(INDIRECT(ADDRESS(2,COLUMN())),OFFSET($BN$2,0,0,ROW()-1,60),ROW()-1,FALSE))</f>
        <v/>
      </c>
      <c r="BB161" t="str">
        <f ca="1">IF(AND(ISNUMBER($BB$356),$B$185=1),$BB$356,HLOOKUP(INDIRECT(ADDRESS(2,COLUMN())),OFFSET($BN$2,0,0,ROW()-1,60),ROW()-1,FALSE))</f>
        <v/>
      </c>
      <c r="BC161" t="str">
        <f ca="1">IF(AND(ISNUMBER($BC$356),$B$185=1),$BC$356,HLOOKUP(INDIRECT(ADDRESS(2,COLUMN())),OFFSET($BN$2,0,0,ROW()-1,60),ROW()-1,FALSE))</f>
        <v/>
      </c>
      <c r="BD161" t="str">
        <f ca="1">IF(AND(ISNUMBER($BD$356),$B$185=1),$BD$356,HLOOKUP(INDIRECT(ADDRESS(2,COLUMN())),OFFSET($BN$2,0,0,ROW()-1,60),ROW()-1,FALSE))</f>
        <v/>
      </c>
      <c r="BE161" t="str">
        <f ca="1">IF(AND(ISNUMBER($BE$356),$B$185=1),$BE$356,HLOOKUP(INDIRECT(ADDRESS(2,COLUMN())),OFFSET($BN$2,0,0,ROW()-1,60),ROW()-1,FALSE))</f>
        <v/>
      </c>
      <c r="BF161" t="str">
        <f ca="1">IF(AND(ISNUMBER($BF$356),$B$185=1),$BF$356,HLOOKUP(INDIRECT(ADDRESS(2,COLUMN())),OFFSET($BN$2,0,0,ROW()-1,60),ROW()-1,FALSE))</f>
        <v/>
      </c>
      <c r="BG161" t="str">
        <f ca="1">IF(AND(ISNUMBER($BG$356),$B$185=1),$BG$356,HLOOKUP(INDIRECT(ADDRESS(2,COLUMN())),OFFSET($BN$2,0,0,ROW()-1,60),ROW()-1,FALSE))</f>
        <v/>
      </c>
      <c r="BH161" t="str">
        <f ca="1">IF(AND(ISNUMBER($BH$356),$B$185=1),$BH$356,HLOOKUP(INDIRECT(ADDRESS(2,COLUMN())),OFFSET($BN$2,0,0,ROW()-1,60),ROW()-1,FALSE))</f>
        <v/>
      </c>
      <c r="BI161" t="str">
        <f ca="1">IF(AND(ISNUMBER($BI$356),$B$185=1),$BI$356,HLOOKUP(INDIRECT(ADDRESS(2,COLUMN())),OFFSET($BN$2,0,0,ROW()-1,60),ROW()-1,FALSE))</f>
        <v/>
      </c>
      <c r="BJ161" t="str">
        <f ca="1">IF(AND(ISNUMBER($BJ$356),$B$185=1),$BJ$356,HLOOKUP(INDIRECT(ADDRESS(2,COLUMN())),OFFSET($BN$2,0,0,ROW()-1,60),ROW()-1,FALSE))</f>
        <v/>
      </c>
      <c r="BK161" t="str">
        <f ca="1">IF(AND(ISNUMBER($BK$356),$B$185=1),$BK$356,HLOOKUP(INDIRECT(ADDRESS(2,COLUMN())),OFFSET($BN$2,0,0,ROW()-1,60),ROW()-1,FALSE))</f>
        <v/>
      </c>
      <c r="BL161" t="str">
        <f ca="1">IF(AND(ISNUMBER($BL$356),$B$185=1),$BL$356,HLOOKUP(INDIRECT(ADDRESS(2,COLUMN())),OFFSET($BN$2,0,0,ROW()-1,60),ROW()-1,FALSE))</f>
        <v/>
      </c>
      <c r="BM161" t="str">
        <f ca="1">IF(AND(ISNUMBER($BM$356),$B$185=1),$BM$356,HLOOKUP(INDIRECT(ADDRESS(2,COLUMN())),OFFSET($BN$2,0,0,ROW()-1,60),ROW()-1,FALSE))</f>
        <v/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  <c r="BT161" t="str">
        <f>""</f>
        <v/>
      </c>
      <c r="BU161" t="str">
        <f>""</f>
        <v/>
      </c>
      <c r="BV161" t="str">
        <f>""</f>
        <v/>
      </c>
      <c r="BW161" t="str">
        <f>""</f>
        <v/>
      </c>
      <c r="BX161" t="str">
        <f>""</f>
        <v/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 t="str">
        <f>""</f>
        <v/>
      </c>
      <c r="CW161" t="str">
        <f>""</f>
        <v/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>
      <c r="A162" t="str">
        <f>"    Regions Financial Corp"</f>
        <v xml:space="preserve">    Regions Financial Corp</v>
      </c>
      <c r="B162" t="str">
        <f>"RF US Equity"</f>
        <v>RF US Equity</v>
      </c>
      <c r="C162" t="str">
        <f t="shared" si="19"/>
        <v>BS963</v>
      </c>
      <c r="D162" t="str">
        <f t="shared" si="20"/>
        <v>BS_COMML_MTG_SERVICED_OTHERS</v>
      </c>
      <c r="E162" t="str">
        <f t="shared" si="21"/>
        <v>Dynamic</v>
      </c>
      <c r="F162" t="str">
        <f ca="1">IF(AND(ISNUMBER($F$357),$B$185=1),$F$357,HLOOKUP(INDIRECT(ADDRESS(2,COLUMN())),OFFSET($BN$2,0,0,ROW()-1,60),ROW()-1,FALSE))</f>
        <v/>
      </c>
      <c r="G162" t="str">
        <f ca="1">IF(AND(ISNUMBER($G$357),$B$185=1),$G$357,HLOOKUP(INDIRECT(ADDRESS(2,COLUMN())),OFFSET($BN$2,0,0,ROW()-1,60),ROW()-1,FALSE))</f>
        <v/>
      </c>
      <c r="H162" t="str">
        <f ca="1">IF(AND(ISNUMBER($H$357),$B$185=1),$H$357,HLOOKUP(INDIRECT(ADDRESS(2,COLUMN())),OFFSET($BN$2,0,0,ROW()-1,60),ROW()-1,FALSE))</f>
        <v/>
      </c>
      <c r="I162" t="str">
        <f ca="1">IF(AND(ISNUMBER($I$357),$B$185=1),$I$357,HLOOKUP(INDIRECT(ADDRESS(2,COLUMN())),OFFSET($BN$2,0,0,ROW()-1,60),ROW()-1,FALSE))</f>
        <v/>
      </c>
      <c r="J162" t="str">
        <f ca="1">IF(AND(ISNUMBER($J$357),$B$185=1),$J$357,HLOOKUP(INDIRECT(ADDRESS(2,COLUMN())),OFFSET($BN$2,0,0,ROW()-1,60),ROW()-1,FALSE))</f>
        <v/>
      </c>
      <c r="K162" t="str">
        <f ca="1">IF(AND(ISNUMBER($K$357),$B$185=1),$K$357,HLOOKUP(INDIRECT(ADDRESS(2,COLUMN())),OFFSET($BN$2,0,0,ROW()-1,60),ROW()-1,FALSE))</f>
        <v/>
      </c>
      <c r="L162" t="str">
        <f ca="1">IF(AND(ISNUMBER($L$357),$B$185=1),$L$357,HLOOKUP(INDIRECT(ADDRESS(2,COLUMN())),OFFSET($BN$2,0,0,ROW()-1,60),ROW()-1,FALSE))</f>
        <v/>
      </c>
      <c r="M162" t="str">
        <f ca="1">IF(AND(ISNUMBER($M$357),$B$185=1),$M$357,HLOOKUP(INDIRECT(ADDRESS(2,COLUMN())),OFFSET($BN$2,0,0,ROW()-1,60),ROW()-1,FALSE))</f>
        <v/>
      </c>
      <c r="N162" t="str">
        <f ca="1">IF(AND(ISNUMBER($N$357),$B$185=1),$N$357,HLOOKUP(INDIRECT(ADDRESS(2,COLUMN())),OFFSET($BN$2,0,0,ROW()-1,60),ROW()-1,FALSE))</f>
        <v/>
      </c>
      <c r="O162" t="str">
        <f ca="1">IF(AND(ISNUMBER($O$357),$B$185=1),$O$357,HLOOKUP(INDIRECT(ADDRESS(2,COLUMN())),OFFSET($BN$2,0,0,ROW()-1,60),ROW()-1,FALSE))</f>
        <v/>
      </c>
      <c r="P162" t="str">
        <f ca="1">IF(AND(ISNUMBER($P$357),$B$185=1),$P$357,HLOOKUP(INDIRECT(ADDRESS(2,COLUMN())),OFFSET($BN$2,0,0,ROW()-1,60),ROW()-1,FALSE))</f>
        <v/>
      </c>
      <c r="Q162" t="str">
        <f ca="1">IF(AND(ISNUMBER($Q$357),$B$185=1),$Q$357,HLOOKUP(INDIRECT(ADDRESS(2,COLUMN())),OFFSET($BN$2,0,0,ROW()-1,60),ROW()-1,FALSE))</f>
        <v/>
      </c>
      <c r="R162" t="str">
        <f ca="1">IF(AND(ISNUMBER($R$357),$B$185=1),$R$357,HLOOKUP(INDIRECT(ADDRESS(2,COLUMN())),OFFSET($BN$2,0,0,ROW()-1,60),ROW()-1,FALSE))</f>
        <v/>
      </c>
      <c r="S162" t="str">
        <f ca="1">IF(AND(ISNUMBER($S$357),$B$185=1),$S$357,HLOOKUP(INDIRECT(ADDRESS(2,COLUMN())),OFFSET($BN$2,0,0,ROW()-1,60),ROW()-1,FALSE))</f>
        <v/>
      </c>
      <c r="T162" t="str">
        <f ca="1">IF(AND(ISNUMBER($T$357),$B$185=1),$T$357,HLOOKUP(INDIRECT(ADDRESS(2,COLUMN())),OFFSET($BN$2,0,0,ROW()-1,60),ROW()-1,FALSE))</f>
        <v/>
      </c>
      <c r="U162" t="str">
        <f ca="1">IF(AND(ISNUMBER($U$357),$B$185=1),$U$357,HLOOKUP(INDIRECT(ADDRESS(2,COLUMN())),OFFSET($BN$2,0,0,ROW()-1,60),ROW()-1,FALSE))</f>
        <v/>
      </c>
      <c r="V162" t="str">
        <f ca="1">IF(AND(ISNUMBER($V$357),$B$185=1),$V$357,HLOOKUP(INDIRECT(ADDRESS(2,COLUMN())),OFFSET($BN$2,0,0,ROW()-1,60),ROW()-1,FALSE))</f>
        <v/>
      </c>
      <c r="W162" t="str">
        <f ca="1">IF(AND(ISNUMBER($W$357),$B$185=1),$W$357,HLOOKUP(INDIRECT(ADDRESS(2,COLUMN())),OFFSET($BN$2,0,0,ROW()-1,60),ROW()-1,FALSE))</f>
        <v/>
      </c>
      <c r="X162" t="str">
        <f ca="1">IF(AND(ISNUMBER($X$357),$B$185=1),$X$357,HLOOKUP(INDIRECT(ADDRESS(2,COLUMN())),OFFSET($BN$2,0,0,ROW()-1,60),ROW()-1,FALSE))</f>
        <v/>
      </c>
      <c r="Y162" t="str">
        <f ca="1">IF(AND(ISNUMBER($Y$357),$B$185=1),$Y$357,HLOOKUP(INDIRECT(ADDRESS(2,COLUMN())),OFFSET($BN$2,0,0,ROW()-1,60),ROW()-1,FALSE))</f>
        <v/>
      </c>
      <c r="Z162" t="str">
        <f ca="1">IF(AND(ISNUMBER($Z$357),$B$185=1),$Z$357,HLOOKUP(INDIRECT(ADDRESS(2,COLUMN())),OFFSET($BN$2,0,0,ROW()-1,60),ROW()-1,FALSE))</f>
        <v/>
      </c>
      <c r="AA162" t="str">
        <f ca="1">IF(AND(ISNUMBER($AA$357),$B$185=1),$AA$357,HLOOKUP(INDIRECT(ADDRESS(2,COLUMN())),OFFSET($BN$2,0,0,ROW()-1,60),ROW()-1,FALSE))</f>
        <v/>
      </c>
      <c r="AB162" t="str">
        <f ca="1">IF(AND(ISNUMBER($AB$357),$B$185=1),$AB$357,HLOOKUP(INDIRECT(ADDRESS(2,COLUMN())),OFFSET($BN$2,0,0,ROW()-1,60),ROW()-1,FALSE))</f>
        <v/>
      </c>
      <c r="AC162" t="str">
        <f ca="1">IF(AND(ISNUMBER($AC$357),$B$185=1),$AC$357,HLOOKUP(INDIRECT(ADDRESS(2,COLUMN())),OFFSET($BN$2,0,0,ROW()-1,60),ROW()-1,FALSE))</f>
        <v/>
      </c>
      <c r="AD162" t="str">
        <f ca="1">IF(AND(ISNUMBER($AD$357),$B$185=1),$AD$357,HLOOKUP(INDIRECT(ADDRESS(2,COLUMN())),OFFSET($BN$2,0,0,ROW()-1,60),ROW()-1,FALSE))</f>
        <v/>
      </c>
      <c r="AE162" t="str">
        <f ca="1">IF(AND(ISNUMBER($AE$357),$B$185=1),$AE$357,HLOOKUP(INDIRECT(ADDRESS(2,COLUMN())),OFFSET($BN$2,0,0,ROW()-1,60),ROW()-1,FALSE))</f>
        <v/>
      </c>
      <c r="AF162" t="str">
        <f ca="1">IF(AND(ISNUMBER($AF$357),$B$185=1),$AF$357,HLOOKUP(INDIRECT(ADDRESS(2,COLUMN())),OFFSET($BN$2,0,0,ROW()-1,60),ROW()-1,FALSE))</f>
        <v/>
      </c>
      <c r="AG162" t="str">
        <f ca="1">IF(AND(ISNUMBER($AG$357),$B$185=1),$AG$357,HLOOKUP(INDIRECT(ADDRESS(2,COLUMN())),OFFSET($BN$2,0,0,ROW()-1,60),ROW()-1,FALSE))</f>
        <v/>
      </c>
      <c r="AH162" t="str">
        <f ca="1">IF(AND(ISNUMBER($AH$357),$B$185=1),$AH$357,HLOOKUP(INDIRECT(ADDRESS(2,COLUMN())),OFFSET($BN$2,0,0,ROW()-1,60),ROW()-1,FALSE))</f>
        <v/>
      </c>
      <c r="AI162" t="str">
        <f ca="1">IF(AND(ISNUMBER($AI$357),$B$185=1),$AI$357,HLOOKUP(INDIRECT(ADDRESS(2,COLUMN())),OFFSET($BN$2,0,0,ROW()-1,60),ROW()-1,FALSE))</f>
        <v/>
      </c>
      <c r="AJ162" t="str">
        <f ca="1">IF(AND(ISNUMBER($AJ$357),$B$185=1),$AJ$357,HLOOKUP(INDIRECT(ADDRESS(2,COLUMN())),OFFSET($BN$2,0,0,ROW()-1,60),ROW()-1,FALSE))</f>
        <v/>
      </c>
      <c r="AK162" t="str">
        <f ca="1">IF(AND(ISNUMBER($AK$357),$B$185=1),$AK$357,HLOOKUP(INDIRECT(ADDRESS(2,COLUMN())),OFFSET($BN$2,0,0,ROW()-1,60),ROW()-1,FALSE))</f>
        <v/>
      </c>
      <c r="AL162" t="str">
        <f ca="1">IF(AND(ISNUMBER($AL$357),$B$185=1),$AL$357,HLOOKUP(INDIRECT(ADDRESS(2,COLUMN())),OFFSET($BN$2,0,0,ROW()-1,60),ROW()-1,FALSE))</f>
        <v/>
      </c>
      <c r="AM162" t="str">
        <f ca="1">IF(AND(ISNUMBER($AM$357),$B$185=1),$AM$357,HLOOKUP(INDIRECT(ADDRESS(2,COLUMN())),OFFSET($BN$2,0,0,ROW()-1,60),ROW()-1,FALSE))</f>
        <v/>
      </c>
      <c r="AN162" t="str">
        <f ca="1">IF(AND(ISNUMBER($AN$357),$B$185=1),$AN$357,HLOOKUP(INDIRECT(ADDRESS(2,COLUMN())),OFFSET($BN$2,0,0,ROW()-1,60),ROW()-1,FALSE))</f>
        <v/>
      </c>
      <c r="AO162" t="str">
        <f ca="1">IF(AND(ISNUMBER($AO$357),$B$185=1),$AO$357,HLOOKUP(INDIRECT(ADDRESS(2,COLUMN())),OFFSET($BN$2,0,0,ROW()-1,60),ROW()-1,FALSE))</f>
        <v/>
      </c>
      <c r="AP162" t="str">
        <f ca="1">IF(AND(ISNUMBER($AP$357),$B$185=1),$AP$357,HLOOKUP(INDIRECT(ADDRESS(2,COLUMN())),OFFSET($BN$2,0,0,ROW()-1,60),ROW()-1,FALSE))</f>
        <v/>
      </c>
      <c r="AQ162" t="str">
        <f ca="1">IF(AND(ISNUMBER($AQ$357),$B$185=1),$AQ$357,HLOOKUP(INDIRECT(ADDRESS(2,COLUMN())),OFFSET($BN$2,0,0,ROW()-1,60),ROW()-1,FALSE))</f>
        <v/>
      </c>
      <c r="AR162" t="str">
        <f ca="1">IF(AND(ISNUMBER($AR$357),$B$185=1),$AR$357,HLOOKUP(INDIRECT(ADDRESS(2,COLUMN())),OFFSET($BN$2,0,0,ROW()-1,60),ROW()-1,FALSE))</f>
        <v/>
      </c>
      <c r="AS162" t="str">
        <f ca="1">IF(AND(ISNUMBER($AS$357),$B$185=1),$AS$357,HLOOKUP(INDIRECT(ADDRESS(2,COLUMN())),OFFSET($BN$2,0,0,ROW()-1,60),ROW()-1,FALSE))</f>
        <v/>
      </c>
      <c r="AT162" t="str">
        <f ca="1">IF(AND(ISNUMBER($AT$357),$B$185=1),$AT$357,HLOOKUP(INDIRECT(ADDRESS(2,COLUMN())),OFFSET($BN$2,0,0,ROW()-1,60),ROW()-1,FALSE))</f>
        <v/>
      </c>
      <c r="AU162" t="str">
        <f ca="1">IF(AND(ISNUMBER($AU$357),$B$185=1),$AU$357,HLOOKUP(INDIRECT(ADDRESS(2,COLUMN())),OFFSET($BN$2,0,0,ROW()-1,60),ROW()-1,FALSE))</f>
        <v/>
      </c>
      <c r="AV162" t="str">
        <f ca="1">IF(AND(ISNUMBER($AV$357),$B$185=1),$AV$357,HLOOKUP(INDIRECT(ADDRESS(2,COLUMN())),OFFSET($BN$2,0,0,ROW()-1,60),ROW()-1,FALSE))</f>
        <v/>
      </c>
      <c r="AW162" t="str">
        <f ca="1">IF(AND(ISNUMBER($AW$357),$B$185=1),$AW$357,HLOOKUP(INDIRECT(ADDRESS(2,COLUMN())),OFFSET($BN$2,0,0,ROW()-1,60),ROW()-1,FALSE))</f>
        <v/>
      </c>
      <c r="AX162" t="str">
        <f ca="1">IF(AND(ISNUMBER($AX$357),$B$185=1),$AX$357,HLOOKUP(INDIRECT(ADDRESS(2,COLUMN())),OFFSET($BN$2,0,0,ROW()-1,60),ROW()-1,FALSE))</f>
        <v/>
      </c>
      <c r="AY162" t="str">
        <f ca="1">IF(AND(ISNUMBER($AY$357),$B$185=1),$AY$357,HLOOKUP(INDIRECT(ADDRESS(2,COLUMN())),OFFSET($BN$2,0,0,ROW()-1,60),ROW()-1,FALSE))</f>
        <v/>
      </c>
      <c r="AZ162" t="str">
        <f ca="1">IF(AND(ISNUMBER($AZ$357),$B$185=1),$AZ$357,HLOOKUP(INDIRECT(ADDRESS(2,COLUMN())),OFFSET($BN$2,0,0,ROW()-1,60),ROW()-1,FALSE))</f>
        <v/>
      </c>
      <c r="BA162" t="str">
        <f ca="1">IF(AND(ISNUMBER($BA$357),$B$185=1),$BA$357,HLOOKUP(INDIRECT(ADDRESS(2,COLUMN())),OFFSET($BN$2,0,0,ROW()-1,60),ROW()-1,FALSE))</f>
        <v/>
      </c>
      <c r="BB162" t="str">
        <f ca="1">IF(AND(ISNUMBER($BB$357),$B$185=1),$BB$357,HLOOKUP(INDIRECT(ADDRESS(2,COLUMN())),OFFSET($BN$2,0,0,ROW()-1,60),ROW()-1,FALSE))</f>
        <v/>
      </c>
      <c r="BC162" t="str">
        <f ca="1">IF(AND(ISNUMBER($BC$357),$B$185=1),$BC$357,HLOOKUP(INDIRECT(ADDRESS(2,COLUMN())),OFFSET($BN$2,0,0,ROW()-1,60),ROW()-1,FALSE))</f>
        <v/>
      </c>
      <c r="BD162" t="str">
        <f ca="1">IF(AND(ISNUMBER($BD$357),$B$185=1),$BD$357,HLOOKUP(INDIRECT(ADDRESS(2,COLUMN())),OFFSET($BN$2,0,0,ROW()-1,60),ROW()-1,FALSE))</f>
        <v/>
      </c>
      <c r="BE162" t="str">
        <f ca="1">IF(AND(ISNUMBER($BE$357),$B$185=1),$BE$357,HLOOKUP(INDIRECT(ADDRESS(2,COLUMN())),OFFSET($BN$2,0,0,ROW()-1,60),ROW()-1,FALSE))</f>
        <v/>
      </c>
      <c r="BF162" t="str">
        <f ca="1">IF(AND(ISNUMBER($BF$357),$B$185=1),$BF$357,HLOOKUP(INDIRECT(ADDRESS(2,COLUMN())),OFFSET($BN$2,0,0,ROW()-1,60),ROW()-1,FALSE))</f>
        <v/>
      </c>
      <c r="BG162" t="str">
        <f ca="1">IF(AND(ISNUMBER($BG$357),$B$185=1),$BG$357,HLOOKUP(INDIRECT(ADDRESS(2,COLUMN())),OFFSET($BN$2,0,0,ROW()-1,60),ROW()-1,FALSE))</f>
        <v/>
      </c>
      <c r="BH162" t="str">
        <f ca="1">IF(AND(ISNUMBER($BH$357),$B$185=1),$BH$357,HLOOKUP(INDIRECT(ADDRESS(2,COLUMN())),OFFSET($BN$2,0,0,ROW()-1,60),ROW()-1,FALSE))</f>
        <v/>
      </c>
      <c r="BI162" t="str">
        <f ca="1">IF(AND(ISNUMBER($BI$357),$B$185=1),$BI$357,HLOOKUP(INDIRECT(ADDRESS(2,COLUMN())),OFFSET($BN$2,0,0,ROW()-1,60),ROW()-1,FALSE))</f>
        <v/>
      </c>
      <c r="BJ162" t="str">
        <f ca="1">IF(AND(ISNUMBER($BJ$357),$B$185=1),$BJ$357,HLOOKUP(INDIRECT(ADDRESS(2,COLUMN())),OFFSET($BN$2,0,0,ROW()-1,60),ROW()-1,FALSE))</f>
        <v/>
      </c>
      <c r="BK162" t="str">
        <f ca="1">IF(AND(ISNUMBER($BK$357),$B$185=1),$BK$357,HLOOKUP(INDIRECT(ADDRESS(2,COLUMN())),OFFSET($BN$2,0,0,ROW()-1,60),ROW()-1,FALSE))</f>
        <v/>
      </c>
      <c r="BL162" t="str">
        <f ca="1">IF(AND(ISNUMBER($BL$357),$B$185=1),$BL$357,HLOOKUP(INDIRECT(ADDRESS(2,COLUMN())),OFFSET($BN$2,0,0,ROW()-1,60),ROW()-1,FALSE))</f>
        <v/>
      </c>
      <c r="BM162" t="str">
        <f ca="1">IF(AND(ISNUMBER($BM$357),$B$185=1),$BM$357,HLOOKUP(INDIRECT(ADDRESS(2,COLUMN())),OFFSET($BN$2,0,0,ROW()-1,60),ROW()-1,FALSE))</f>
        <v/>
      </c>
      <c r="BN162" t="str">
        <f>""</f>
        <v/>
      </c>
      <c r="BO162" t="str">
        <f>""</f>
        <v/>
      </c>
      <c r="BP162" t="str">
        <f>""</f>
        <v/>
      </c>
      <c r="BQ162" t="str">
        <f>""</f>
        <v/>
      </c>
      <c r="BR162" t="str">
        <f>""</f>
        <v/>
      </c>
      <c r="BS162" t="str">
        <f>""</f>
        <v/>
      </c>
      <c r="BT162" t="str">
        <f>""</f>
        <v/>
      </c>
      <c r="BU162" t="str">
        <f>""</f>
        <v/>
      </c>
      <c r="BV162" t="str">
        <f>""</f>
        <v/>
      </c>
      <c r="BW162" t="str">
        <f>""</f>
        <v/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  <c r="CI162" t="str">
        <f>""</f>
        <v/>
      </c>
      <c r="CJ162" t="str">
        <f>""</f>
        <v/>
      </c>
      <c r="CK162" t="str">
        <f>""</f>
        <v/>
      </c>
      <c r="CL162" t="str">
        <f>""</f>
        <v/>
      </c>
      <c r="CM162" t="str">
        <f>""</f>
        <v/>
      </c>
      <c r="CN162" t="str">
        <f>""</f>
        <v/>
      </c>
      <c r="CO162" t="str">
        <f>""</f>
        <v/>
      </c>
      <c r="CP162" t="str">
        <f>""</f>
        <v/>
      </c>
      <c r="CQ162" t="str">
        <f>""</f>
        <v/>
      </c>
      <c r="CR162" t="str">
        <f>""</f>
        <v/>
      </c>
      <c r="CS162" t="str">
        <f>""</f>
        <v/>
      </c>
      <c r="CT162" t="str">
        <f>""</f>
        <v/>
      </c>
      <c r="CU162" t="str">
        <f>""</f>
        <v/>
      </c>
      <c r="CV162" t="str">
        <f>""</f>
        <v/>
      </c>
      <c r="CW162" t="str">
        <f>""</f>
        <v/>
      </c>
      <c r="CX162" t="str">
        <f>""</f>
        <v/>
      </c>
      <c r="CY162" t="str">
        <f>""</f>
        <v/>
      </c>
      <c r="CZ162" t="str">
        <f>""</f>
        <v/>
      </c>
      <c r="DA162" t="str">
        <f>""</f>
        <v/>
      </c>
      <c r="DB162" t="str">
        <f>""</f>
        <v/>
      </c>
      <c r="DC162" t="str">
        <f>""</f>
        <v/>
      </c>
      <c r="DD162" t="str">
        <f>""</f>
        <v/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>
      <c r="A163" t="str">
        <f>"    Signature Bank/New York NY"</f>
        <v xml:space="preserve">    Signature Bank/New York NY</v>
      </c>
      <c r="B163" t="str">
        <f>"SBNY US Equity"</f>
        <v>SBNY US Equity</v>
      </c>
      <c r="C163" t="str">
        <f t="shared" si="19"/>
        <v>BS963</v>
      </c>
      <c r="D163" t="str">
        <f t="shared" si="20"/>
        <v>BS_COMML_MTG_SERVICED_OTHERS</v>
      </c>
      <c r="E163" t="str">
        <f t="shared" si="21"/>
        <v>Dynamic</v>
      </c>
      <c r="F163" t="str">
        <f ca="1">IF(AND(ISNUMBER($F$358),$B$185=1),$F$358,HLOOKUP(INDIRECT(ADDRESS(2,COLUMN())),OFFSET($BN$2,0,0,ROW()-1,60),ROW()-1,FALSE))</f>
        <v/>
      </c>
      <c r="G163" t="str">
        <f ca="1">IF(AND(ISNUMBER($G$358),$B$185=1),$G$358,HLOOKUP(INDIRECT(ADDRESS(2,COLUMN())),OFFSET($BN$2,0,0,ROW()-1,60),ROW()-1,FALSE))</f>
        <v/>
      </c>
      <c r="H163" t="str">
        <f ca="1">IF(AND(ISNUMBER($H$358),$B$185=1),$H$358,HLOOKUP(INDIRECT(ADDRESS(2,COLUMN())),OFFSET($BN$2,0,0,ROW()-1,60),ROW()-1,FALSE))</f>
        <v/>
      </c>
      <c r="I163" t="str">
        <f ca="1">IF(AND(ISNUMBER($I$358),$B$185=1),$I$358,HLOOKUP(INDIRECT(ADDRESS(2,COLUMN())),OFFSET($BN$2,0,0,ROW()-1,60),ROW()-1,FALSE))</f>
        <v/>
      </c>
      <c r="J163" t="str">
        <f ca="1">IF(AND(ISNUMBER($J$358),$B$185=1),$J$358,HLOOKUP(INDIRECT(ADDRESS(2,COLUMN())),OFFSET($BN$2,0,0,ROW()-1,60),ROW()-1,FALSE))</f>
        <v/>
      </c>
      <c r="K163" t="str">
        <f ca="1">IF(AND(ISNUMBER($K$358),$B$185=1),$K$358,HLOOKUP(INDIRECT(ADDRESS(2,COLUMN())),OFFSET($BN$2,0,0,ROW()-1,60),ROW()-1,FALSE))</f>
        <v/>
      </c>
      <c r="L163" t="str">
        <f ca="1">IF(AND(ISNUMBER($L$358),$B$185=1),$L$358,HLOOKUP(INDIRECT(ADDRESS(2,COLUMN())),OFFSET($BN$2,0,0,ROW()-1,60),ROW()-1,FALSE))</f>
        <v/>
      </c>
      <c r="M163" t="str">
        <f ca="1">IF(AND(ISNUMBER($M$358),$B$185=1),$M$358,HLOOKUP(INDIRECT(ADDRESS(2,COLUMN())),OFFSET($BN$2,0,0,ROW()-1,60),ROW()-1,FALSE))</f>
        <v/>
      </c>
      <c r="N163" t="str">
        <f ca="1">IF(AND(ISNUMBER($N$358),$B$185=1),$N$358,HLOOKUP(INDIRECT(ADDRESS(2,COLUMN())),OFFSET($BN$2,0,0,ROW()-1,60),ROW()-1,FALSE))</f>
        <v/>
      </c>
      <c r="O163" t="str">
        <f ca="1">IF(AND(ISNUMBER($O$358),$B$185=1),$O$358,HLOOKUP(INDIRECT(ADDRESS(2,COLUMN())),OFFSET($BN$2,0,0,ROW()-1,60),ROW()-1,FALSE))</f>
        <v/>
      </c>
      <c r="P163" t="str">
        <f ca="1">IF(AND(ISNUMBER($P$358),$B$185=1),$P$358,HLOOKUP(INDIRECT(ADDRESS(2,COLUMN())),OFFSET($BN$2,0,0,ROW()-1,60),ROW()-1,FALSE))</f>
        <v/>
      </c>
      <c r="Q163" t="str">
        <f ca="1">IF(AND(ISNUMBER($Q$358),$B$185=1),$Q$358,HLOOKUP(INDIRECT(ADDRESS(2,COLUMN())),OFFSET($BN$2,0,0,ROW()-1,60),ROW()-1,FALSE))</f>
        <v/>
      </c>
      <c r="R163" t="str">
        <f ca="1">IF(AND(ISNUMBER($R$358),$B$185=1),$R$358,HLOOKUP(INDIRECT(ADDRESS(2,COLUMN())),OFFSET($BN$2,0,0,ROW()-1,60),ROW()-1,FALSE))</f>
        <v/>
      </c>
      <c r="S163" t="str">
        <f ca="1">IF(AND(ISNUMBER($S$358),$B$185=1),$S$358,HLOOKUP(INDIRECT(ADDRESS(2,COLUMN())),OFFSET($BN$2,0,0,ROW()-1,60),ROW()-1,FALSE))</f>
        <v/>
      </c>
      <c r="T163" t="str">
        <f ca="1">IF(AND(ISNUMBER($T$358),$B$185=1),$T$358,HLOOKUP(INDIRECT(ADDRESS(2,COLUMN())),OFFSET($BN$2,0,0,ROW()-1,60),ROW()-1,FALSE))</f>
        <v/>
      </c>
      <c r="U163" t="str">
        <f ca="1">IF(AND(ISNUMBER($U$358),$B$185=1),$U$358,HLOOKUP(INDIRECT(ADDRESS(2,COLUMN())),OFFSET($BN$2,0,0,ROW()-1,60),ROW()-1,FALSE))</f>
        <v/>
      </c>
      <c r="V163" t="str">
        <f ca="1">IF(AND(ISNUMBER($V$358),$B$185=1),$V$358,HLOOKUP(INDIRECT(ADDRESS(2,COLUMN())),OFFSET($BN$2,0,0,ROW()-1,60),ROW()-1,FALSE))</f>
        <v/>
      </c>
      <c r="W163" t="str">
        <f ca="1">IF(AND(ISNUMBER($W$358),$B$185=1),$W$358,HLOOKUP(INDIRECT(ADDRESS(2,COLUMN())),OFFSET($BN$2,0,0,ROW()-1,60),ROW()-1,FALSE))</f>
        <v/>
      </c>
      <c r="X163" t="str">
        <f ca="1">IF(AND(ISNUMBER($X$358),$B$185=1),$X$358,HLOOKUP(INDIRECT(ADDRESS(2,COLUMN())),OFFSET($BN$2,0,0,ROW()-1,60),ROW()-1,FALSE))</f>
        <v/>
      </c>
      <c r="Y163" t="str">
        <f ca="1">IF(AND(ISNUMBER($Y$358),$B$185=1),$Y$358,HLOOKUP(INDIRECT(ADDRESS(2,COLUMN())),OFFSET($BN$2,0,0,ROW()-1,60),ROW()-1,FALSE))</f>
        <v/>
      </c>
      <c r="Z163" t="str">
        <f ca="1">IF(AND(ISNUMBER($Z$358),$B$185=1),$Z$358,HLOOKUP(INDIRECT(ADDRESS(2,COLUMN())),OFFSET($BN$2,0,0,ROW()-1,60),ROW()-1,FALSE))</f>
        <v/>
      </c>
      <c r="AA163" t="str">
        <f ca="1">IF(AND(ISNUMBER($AA$358),$B$185=1),$AA$358,HLOOKUP(INDIRECT(ADDRESS(2,COLUMN())),OFFSET($BN$2,0,0,ROW()-1,60),ROW()-1,FALSE))</f>
        <v/>
      </c>
      <c r="AB163" t="str">
        <f ca="1">IF(AND(ISNUMBER($AB$358),$B$185=1),$AB$358,HLOOKUP(INDIRECT(ADDRESS(2,COLUMN())),OFFSET($BN$2,0,0,ROW()-1,60),ROW()-1,FALSE))</f>
        <v/>
      </c>
      <c r="AC163" t="str">
        <f ca="1">IF(AND(ISNUMBER($AC$358),$B$185=1),$AC$358,HLOOKUP(INDIRECT(ADDRESS(2,COLUMN())),OFFSET($BN$2,0,0,ROW()-1,60),ROW()-1,FALSE))</f>
        <v/>
      </c>
      <c r="AD163" t="str">
        <f ca="1">IF(AND(ISNUMBER($AD$358),$B$185=1),$AD$358,HLOOKUP(INDIRECT(ADDRESS(2,COLUMN())),OFFSET($BN$2,0,0,ROW()-1,60),ROW()-1,FALSE))</f>
        <v/>
      </c>
      <c r="AE163" t="str">
        <f ca="1">IF(AND(ISNUMBER($AE$358),$B$185=1),$AE$358,HLOOKUP(INDIRECT(ADDRESS(2,COLUMN())),OFFSET($BN$2,0,0,ROW()-1,60),ROW()-1,FALSE))</f>
        <v/>
      </c>
      <c r="AF163" t="str">
        <f ca="1">IF(AND(ISNUMBER($AF$358),$B$185=1),$AF$358,HLOOKUP(INDIRECT(ADDRESS(2,COLUMN())),OFFSET($BN$2,0,0,ROW()-1,60),ROW()-1,FALSE))</f>
        <v/>
      </c>
      <c r="AG163" t="str">
        <f ca="1">IF(AND(ISNUMBER($AG$358),$B$185=1),$AG$358,HLOOKUP(INDIRECT(ADDRESS(2,COLUMN())),OFFSET($BN$2,0,0,ROW()-1,60),ROW()-1,FALSE))</f>
        <v/>
      </c>
      <c r="AH163" t="str">
        <f ca="1">IF(AND(ISNUMBER($AH$358),$B$185=1),$AH$358,HLOOKUP(INDIRECT(ADDRESS(2,COLUMN())),OFFSET($BN$2,0,0,ROW()-1,60),ROW()-1,FALSE))</f>
        <v/>
      </c>
      <c r="AI163" t="str">
        <f ca="1">IF(AND(ISNUMBER($AI$358),$B$185=1),$AI$358,HLOOKUP(INDIRECT(ADDRESS(2,COLUMN())),OFFSET($BN$2,0,0,ROW()-1,60),ROW()-1,FALSE))</f>
        <v/>
      </c>
      <c r="AJ163" t="str">
        <f ca="1">IF(AND(ISNUMBER($AJ$358),$B$185=1),$AJ$358,HLOOKUP(INDIRECT(ADDRESS(2,COLUMN())),OFFSET($BN$2,0,0,ROW()-1,60),ROW()-1,FALSE))</f>
        <v/>
      </c>
      <c r="AK163" t="str">
        <f ca="1">IF(AND(ISNUMBER($AK$358),$B$185=1),$AK$358,HLOOKUP(INDIRECT(ADDRESS(2,COLUMN())),OFFSET($BN$2,0,0,ROW()-1,60),ROW()-1,FALSE))</f>
        <v/>
      </c>
      <c r="AL163" t="str">
        <f ca="1">IF(AND(ISNUMBER($AL$358),$B$185=1),$AL$358,HLOOKUP(INDIRECT(ADDRESS(2,COLUMN())),OFFSET($BN$2,0,0,ROW()-1,60),ROW()-1,FALSE))</f>
        <v/>
      </c>
      <c r="AM163" t="str">
        <f ca="1">IF(AND(ISNUMBER($AM$358),$B$185=1),$AM$358,HLOOKUP(INDIRECT(ADDRESS(2,COLUMN())),OFFSET($BN$2,0,0,ROW()-1,60),ROW()-1,FALSE))</f>
        <v/>
      </c>
      <c r="AN163" t="str">
        <f ca="1">IF(AND(ISNUMBER($AN$358),$B$185=1),$AN$358,HLOOKUP(INDIRECT(ADDRESS(2,COLUMN())),OFFSET($BN$2,0,0,ROW()-1,60),ROW()-1,FALSE))</f>
        <v/>
      </c>
      <c r="AO163" t="str">
        <f ca="1">IF(AND(ISNUMBER($AO$358),$B$185=1),$AO$358,HLOOKUP(INDIRECT(ADDRESS(2,COLUMN())),OFFSET($BN$2,0,0,ROW()-1,60),ROW()-1,FALSE))</f>
        <v/>
      </c>
      <c r="AP163" t="str">
        <f ca="1">IF(AND(ISNUMBER($AP$358),$B$185=1),$AP$358,HLOOKUP(INDIRECT(ADDRESS(2,COLUMN())),OFFSET($BN$2,0,0,ROW()-1,60),ROW()-1,FALSE))</f>
        <v/>
      </c>
      <c r="AQ163" t="str">
        <f ca="1">IF(AND(ISNUMBER($AQ$358),$B$185=1),$AQ$358,HLOOKUP(INDIRECT(ADDRESS(2,COLUMN())),OFFSET($BN$2,0,0,ROW()-1,60),ROW()-1,FALSE))</f>
        <v/>
      </c>
      <c r="AR163" t="str">
        <f ca="1">IF(AND(ISNUMBER($AR$358),$B$185=1),$AR$358,HLOOKUP(INDIRECT(ADDRESS(2,COLUMN())),OFFSET($BN$2,0,0,ROW()-1,60),ROW()-1,FALSE))</f>
        <v/>
      </c>
      <c r="AS163" t="str">
        <f ca="1">IF(AND(ISNUMBER($AS$358),$B$185=1),$AS$358,HLOOKUP(INDIRECT(ADDRESS(2,COLUMN())),OFFSET($BN$2,0,0,ROW()-1,60),ROW()-1,FALSE))</f>
        <v/>
      </c>
      <c r="AT163" t="str">
        <f ca="1">IF(AND(ISNUMBER($AT$358),$B$185=1),$AT$358,HLOOKUP(INDIRECT(ADDRESS(2,COLUMN())),OFFSET($BN$2,0,0,ROW()-1,60),ROW()-1,FALSE))</f>
        <v/>
      </c>
      <c r="AU163" t="str">
        <f ca="1">IF(AND(ISNUMBER($AU$358),$B$185=1),$AU$358,HLOOKUP(INDIRECT(ADDRESS(2,COLUMN())),OFFSET($BN$2,0,0,ROW()-1,60),ROW()-1,FALSE))</f>
        <v/>
      </c>
      <c r="AV163" t="str">
        <f ca="1">IF(AND(ISNUMBER($AV$358),$B$185=1),$AV$358,HLOOKUP(INDIRECT(ADDRESS(2,COLUMN())),OFFSET($BN$2,0,0,ROW()-1,60),ROW()-1,FALSE))</f>
        <v/>
      </c>
      <c r="AW163" t="str">
        <f ca="1">IF(AND(ISNUMBER($AW$358),$B$185=1),$AW$358,HLOOKUP(INDIRECT(ADDRESS(2,COLUMN())),OFFSET($BN$2,0,0,ROW()-1,60),ROW()-1,FALSE))</f>
        <v/>
      </c>
      <c r="AX163" t="str">
        <f ca="1">IF(AND(ISNUMBER($AX$358),$B$185=1),$AX$358,HLOOKUP(INDIRECT(ADDRESS(2,COLUMN())),OFFSET($BN$2,0,0,ROW()-1,60),ROW()-1,FALSE))</f>
        <v/>
      </c>
      <c r="AY163" t="str">
        <f ca="1">IF(AND(ISNUMBER($AY$358),$B$185=1),$AY$358,HLOOKUP(INDIRECT(ADDRESS(2,COLUMN())),OFFSET($BN$2,0,0,ROW()-1,60),ROW()-1,FALSE))</f>
        <v/>
      </c>
      <c r="AZ163" t="str">
        <f ca="1">IF(AND(ISNUMBER($AZ$358),$B$185=1),$AZ$358,HLOOKUP(INDIRECT(ADDRESS(2,COLUMN())),OFFSET($BN$2,0,0,ROW()-1,60),ROW()-1,FALSE))</f>
        <v/>
      </c>
      <c r="BA163" t="str">
        <f ca="1">IF(AND(ISNUMBER($BA$358),$B$185=1),$BA$358,HLOOKUP(INDIRECT(ADDRESS(2,COLUMN())),OFFSET($BN$2,0,0,ROW()-1,60),ROW()-1,FALSE))</f>
        <v/>
      </c>
      <c r="BB163" t="str">
        <f ca="1">IF(AND(ISNUMBER($BB$358),$B$185=1),$BB$358,HLOOKUP(INDIRECT(ADDRESS(2,COLUMN())),OFFSET($BN$2,0,0,ROW()-1,60),ROW()-1,FALSE))</f>
        <v/>
      </c>
      <c r="BC163" t="str">
        <f ca="1">IF(AND(ISNUMBER($BC$358),$B$185=1),$BC$358,HLOOKUP(INDIRECT(ADDRESS(2,COLUMN())),OFFSET($BN$2,0,0,ROW()-1,60),ROW()-1,FALSE))</f>
        <v/>
      </c>
      <c r="BD163" t="str">
        <f ca="1">IF(AND(ISNUMBER($BD$358),$B$185=1),$BD$358,HLOOKUP(INDIRECT(ADDRESS(2,COLUMN())),OFFSET($BN$2,0,0,ROW()-1,60),ROW()-1,FALSE))</f>
        <v/>
      </c>
      <c r="BE163" t="str">
        <f ca="1">IF(AND(ISNUMBER($BE$358),$B$185=1),$BE$358,HLOOKUP(INDIRECT(ADDRESS(2,COLUMN())),OFFSET($BN$2,0,0,ROW()-1,60),ROW()-1,FALSE))</f>
        <v/>
      </c>
      <c r="BF163" t="str">
        <f ca="1">IF(AND(ISNUMBER($BF$358),$B$185=1),$BF$358,HLOOKUP(INDIRECT(ADDRESS(2,COLUMN())),OFFSET($BN$2,0,0,ROW()-1,60),ROW()-1,FALSE))</f>
        <v/>
      </c>
      <c r="BG163" t="str">
        <f ca="1">IF(AND(ISNUMBER($BG$358),$B$185=1),$BG$358,HLOOKUP(INDIRECT(ADDRESS(2,COLUMN())),OFFSET($BN$2,0,0,ROW()-1,60),ROW()-1,FALSE))</f>
        <v/>
      </c>
      <c r="BH163" t="str">
        <f ca="1">IF(AND(ISNUMBER($BH$358),$B$185=1),$BH$358,HLOOKUP(INDIRECT(ADDRESS(2,COLUMN())),OFFSET($BN$2,0,0,ROW()-1,60),ROW()-1,FALSE))</f>
        <v/>
      </c>
      <c r="BI163" t="str">
        <f ca="1">IF(AND(ISNUMBER($BI$358),$B$185=1),$BI$358,HLOOKUP(INDIRECT(ADDRESS(2,COLUMN())),OFFSET($BN$2,0,0,ROW()-1,60),ROW()-1,FALSE))</f>
        <v/>
      </c>
      <c r="BJ163" t="str">
        <f ca="1">IF(AND(ISNUMBER($BJ$358),$B$185=1),$BJ$358,HLOOKUP(INDIRECT(ADDRESS(2,COLUMN())),OFFSET($BN$2,0,0,ROW()-1,60),ROW()-1,FALSE))</f>
        <v/>
      </c>
      <c r="BK163" t="str">
        <f ca="1">IF(AND(ISNUMBER($BK$358),$B$185=1),$BK$358,HLOOKUP(INDIRECT(ADDRESS(2,COLUMN())),OFFSET($BN$2,0,0,ROW()-1,60),ROW()-1,FALSE))</f>
        <v/>
      </c>
      <c r="BL163" t="str">
        <f ca="1">IF(AND(ISNUMBER($BL$358),$B$185=1),$BL$358,HLOOKUP(INDIRECT(ADDRESS(2,COLUMN())),OFFSET($BN$2,0,0,ROW()-1,60),ROW()-1,FALSE))</f>
        <v/>
      </c>
      <c r="BM163" t="str">
        <f ca="1">IF(AND(ISNUMBER($BM$358),$B$185=1),$BM$358,HLOOKUP(INDIRECT(ADDRESS(2,COLUMN())),OFFSET($BN$2,0,0,ROW()-1,60),ROW()-1,FALSE))</f>
        <v/>
      </c>
      <c r="BN163" t="str">
        <f>""</f>
        <v/>
      </c>
      <c r="BO163" t="str">
        <f>""</f>
        <v/>
      </c>
      <c r="BP163" t="str">
        <f>""</f>
        <v/>
      </c>
      <c r="BQ163" t="str">
        <f>""</f>
        <v/>
      </c>
      <c r="BR163" t="str">
        <f>""</f>
        <v/>
      </c>
      <c r="BS163" t="str">
        <f>""</f>
        <v/>
      </c>
      <c r="BT163" t="str">
        <f>""</f>
        <v/>
      </c>
      <c r="BU163" t="str">
        <f>""</f>
        <v/>
      </c>
      <c r="BV163" t="str">
        <f>""</f>
        <v/>
      </c>
      <c r="BW163" t="str">
        <f>""</f>
        <v/>
      </c>
      <c r="BX163" t="str">
        <f>""</f>
        <v/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  <c r="CI163" t="str">
        <f>""</f>
        <v/>
      </c>
      <c r="CJ163" t="str">
        <f>""</f>
        <v/>
      </c>
      <c r="CK163" t="str">
        <f>""</f>
        <v/>
      </c>
      <c r="CL163" t="str">
        <f>""</f>
        <v/>
      </c>
      <c r="CM163" t="str">
        <f>""</f>
        <v/>
      </c>
      <c r="CN163" t="str">
        <f>""</f>
        <v/>
      </c>
      <c r="CO163" t="str">
        <f>""</f>
        <v/>
      </c>
      <c r="CP163" t="str">
        <f>""</f>
        <v/>
      </c>
      <c r="CQ163" t="str">
        <f>""</f>
        <v/>
      </c>
      <c r="CR163" t="str">
        <f>""</f>
        <v/>
      </c>
      <c r="CS163" t="str">
        <f>""</f>
        <v/>
      </c>
      <c r="CT163" t="str">
        <f>""</f>
        <v/>
      </c>
      <c r="CU163" t="str">
        <f>""</f>
        <v/>
      </c>
      <c r="CV163" t="str">
        <f>""</f>
        <v/>
      </c>
      <c r="CW163" t="str">
        <f>""</f>
        <v/>
      </c>
      <c r="CX163" t="str">
        <f>""</f>
        <v/>
      </c>
      <c r="CY163" t="str">
        <f>""</f>
        <v/>
      </c>
      <c r="CZ163" t="str">
        <f>""</f>
        <v/>
      </c>
      <c r="DA163" t="str">
        <f>""</f>
        <v/>
      </c>
      <c r="DB163" t="str">
        <f>""</f>
        <v/>
      </c>
      <c r="DC163" t="str">
        <f>""</f>
        <v/>
      </c>
      <c r="DD163" t="str">
        <f>""</f>
        <v/>
      </c>
      <c r="DE163" t="str">
        <f>""</f>
        <v/>
      </c>
      <c r="DF163" t="str">
        <f>""</f>
        <v/>
      </c>
      <c r="DG163" t="str">
        <f>""</f>
        <v/>
      </c>
      <c r="DH163" t="str">
        <f>""</f>
        <v/>
      </c>
      <c r="DI163" t="str">
        <f>""</f>
        <v/>
      </c>
      <c r="DJ163" t="str">
        <f>""</f>
        <v/>
      </c>
      <c r="DK163" t="str">
        <f>""</f>
        <v/>
      </c>
      <c r="DL163" t="str">
        <f>""</f>
        <v/>
      </c>
      <c r="DM163" t="str">
        <f>""</f>
        <v/>
      </c>
      <c r="DN163" t="str">
        <f>""</f>
        <v/>
      </c>
      <c r="DO163" t="str">
        <f>""</f>
        <v/>
      </c>
      <c r="DP163" t="str">
        <f>""</f>
        <v/>
      </c>
      <c r="DQ163" t="str">
        <f>""</f>
        <v/>
      </c>
      <c r="DR163" t="str">
        <f>""</f>
        <v/>
      </c>
      <c r="DS163" t="str">
        <f>""</f>
        <v/>
      </c>
      <c r="DT163" t="str">
        <f>""</f>
        <v/>
      </c>
      <c r="DU163" t="str">
        <f>""</f>
        <v/>
      </c>
    </row>
    <row r="164" spans="1:125">
      <c r="A164" t="str">
        <f>"    SVB Financial Group"</f>
        <v xml:space="preserve">    SVB Financial Group</v>
      </c>
      <c r="B164" t="str">
        <f>"SIVBQ US Equity"</f>
        <v>SIVBQ US Equity</v>
      </c>
      <c r="C164" t="str">
        <f t="shared" si="19"/>
        <v>BS963</v>
      </c>
      <c r="D164" t="str">
        <f t="shared" si="20"/>
        <v>BS_COMML_MTG_SERVICED_OTHERS</v>
      </c>
      <c r="E164" t="str">
        <f t="shared" si="21"/>
        <v>Dynamic</v>
      </c>
      <c r="F164" t="str">
        <f ca="1">IF(AND(ISNUMBER($F$359),$B$185=1),$F$359,HLOOKUP(INDIRECT(ADDRESS(2,COLUMN())),OFFSET($BN$2,0,0,ROW()-1,60),ROW()-1,FALSE))</f>
        <v/>
      </c>
      <c r="G164" t="str">
        <f ca="1">IF(AND(ISNUMBER($G$359),$B$185=1),$G$359,HLOOKUP(INDIRECT(ADDRESS(2,COLUMN())),OFFSET($BN$2,0,0,ROW()-1,60),ROW()-1,FALSE))</f>
        <v/>
      </c>
      <c r="H164" t="str">
        <f ca="1">IF(AND(ISNUMBER($H$359),$B$185=1),$H$359,HLOOKUP(INDIRECT(ADDRESS(2,COLUMN())),OFFSET($BN$2,0,0,ROW()-1,60),ROW()-1,FALSE))</f>
        <v/>
      </c>
      <c r="I164" t="str">
        <f ca="1">IF(AND(ISNUMBER($I$359),$B$185=1),$I$359,HLOOKUP(INDIRECT(ADDRESS(2,COLUMN())),OFFSET($BN$2,0,0,ROW()-1,60),ROW()-1,FALSE))</f>
        <v/>
      </c>
      <c r="J164" t="str">
        <f ca="1">IF(AND(ISNUMBER($J$359),$B$185=1),$J$359,HLOOKUP(INDIRECT(ADDRESS(2,COLUMN())),OFFSET($BN$2,0,0,ROW()-1,60),ROW()-1,FALSE))</f>
        <v/>
      </c>
      <c r="K164" t="str">
        <f ca="1">IF(AND(ISNUMBER($K$359),$B$185=1),$K$359,HLOOKUP(INDIRECT(ADDRESS(2,COLUMN())),OFFSET($BN$2,0,0,ROW()-1,60),ROW()-1,FALSE))</f>
        <v/>
      </c>
      <c r="L164" t="str">
        <f ca="1">IF(AND(ISNUMBER($L$359),$B$185=1),$L$359,HLOOKUP(INDIRECT(ADDRESS(2,COLUMN())),OFFSET($BN$2,0,0,ROW()-1,60),ROW()-1,FALSE))</f>
        <v/>
      </c>
      <c r="M164" t="str">
        <f ca="1">IF(AND(ISNUMBER($M$359),$B$185=1),$M$359,HLOOKUP(INDIRECT(ADDRESS(2,COLUMN())),OFFSET($BN$2,0,0,ROW()-1,60),ROW()-1,FALSE))</f>
        <v/>
      </c>
      <c r="N164" t="str">
        <f ca="1">IF(AND(ISNUMBER($N$359),$B$185=1),$N$359,HLOOKUP(INDIRECT(ADDRESS(2,COLUMN())),OFFSET($BN$2,0,0,ROW()-1,60),ROW()-1,FALSE))</f>
        <v/>
      </c>
      <c r="O164" t="str">
        <f ca="1">IF(AND(ISNUMBER($O$359),$B$185=1),$O$359,HLOOKUP(INDIRECT(ADDRESS(2,COLUMN())),OFFSET($BN$2,0,0,ROW()-1,60),ROW()-1,FALSE))</f>
        <v/>
      </c>
      <c r="P164" t="str">
        <f ca="1">IF(AND(ISNUMBER($P$359),$B$185=1),$P$359,HLOOKUP(INDIRECT(ADDRESS(2,COLUMN())),OFFSET($BN$2,0,0,ROW()-1,60),ROW()-1,FALSE))</f>
        <v/>
      </c>
      <c r="Q164" t="str">
        <f ca="1">IF(AND(ISNUMBER($Q$359),$B$185=1),$Q$359,HLOOKUP(INDIRECT(ADDRESS(2,COLUMN())),OFFSET($BN$2,0,0,ROW()-1,60),ROW()-1,FALSE))</f>
        <v/>
      </c>
      <c r="R164" t="str">
        <f ca="1">IF(AND(ISNUMBER($R$359),$B$185=1),$R$359,HLOOKUP(INDIRECT(ADDRESS(2,COLUMN())),OFFSET($BN$2,0,0,ROW()-1,60),ROW()-1,FALSE))</f>
        <v/>
      </c>
      <c r="S164" t="str">
        <f ca="1">IF(AND(ISNUMBER($S$359),$B$185=1),$S$359,HLOOKUP(INDIRECT(ADDRESS(2,COLUMN())),OFFSET($BN$2,0,0,ROW()-1,60),ROW()-1,FALSE))</f>
        <v/>
      </c>
      <c r="T164" t="str">
        <f ca="1">IF(AND(ISNUMBER($T$359),$B$185=1),$T$359,HLOOKUP(INDIRECT(ADDRESS(2,COLUMN())),OFFSET($BN$2,0,0,ROW()-1,60),ROW()-1,FALSE))</f>
        <v/>
      </c>
      <c r="U164" t="str">
        <f ca="1">IF(AND(ISNUMBER($U$359),$B$185=1),$U$359,HLOOKUP(INDIRECT(ADDRESS(2,COLUMN())),OFFSET($BN$2,0,0,ROW()-1,60),ROW()-1,FALSE))</f>
        <v/>
      </c>
      <c r="V164" t="str">
        <f ca="1">IF(AND(ISNUMBER($V$359),$B$185=1),$V$359,HLOOKUP(INDIRECT(ADDRESS(2,COLUMN())),OFFSET($BN$2,0,0,ROW()-1,60),ROW()-1,FALSE))</f>
        <v/>
      </c>
      <c r="W164" t="str">
        <f ca="1">IF(AND(ISNUMBER($W$359),$B$185=1),$W$359,HLOOKUP(INDIRECT(ADDRESS(2,COLUMN())),OFFSET($BN$2,0,0,ROW()-1,60),ROW()-1,FALSE))</f>
        <v/>
      </c>
      <c r="X164" t="str">
        <f ca="1">IF(AND(ISNUMBER($X$359),$B$185=1),$X$359,HLOOKUP(INDIRECT(ADDRESS(2,COLUMN())),OFFSET($BN$2,0,0,ROW()-1,60),ROW()-1,FALSE))</f>
        <v/>
      </c>
      <c r="Y164" t="str">
        <f ca="1">IF(AND(ISNUMBER($Y$359),$B$185=1),$Y$359,HLOOKUP(INDIRECT(ADDRESS(2,COLUMN())),OFFSET($BN$2,0,0,ROW()-1,60),ROW()-1,FALSE))</f>
        <v/>
      </c>
      <c r="Z164" t="str">
        <f ca="1">IF(AND(ISNUMBER($Z$359),$B$185=1),$Z$359,HLOOKUP(INDIRECT(ADDRESS(2,COLUMN())),OFFSET($BN$2,0,0,ROW()-1,60),ROW()-1,FALSE))</f>
        <v/>
      </c>
      <c r="AA164" t="str">
        <f ca="1">IF(AND(ISNUMBER($AA$359),$B$185=1),$AA$359,HLOOKUP(INDIRECT(ADDRESS(2,COLUMN())),OFFSET($BN$2,0,0,ROW()-1,60),ROW()-1,FALSE))</f>
        <v/>
      </c>
      <c r="AB164" t="str">
        <f ca="1">IF(AND(ISNUMBER($AB$359),$B$185=1),$AB$359,HLOOKUP(INDIRECT(ADDRESS(2,COLUMN())),OFFSET($BN$2,0,0,ROW()-1,60),ROW()-1,FALSE))</f>
        <v/>
      </c>
      <c r="AC164" t="str">
        <f ca="1">IF(AND(ISNUMBER($AC$359),$B$185=1),$AC$359,HLOOKUP(INDIRECT(ADDRESS(2,COLUMN())),OFFSET($BN$2,0,0,ROW()-1,60),ROW()-1,FALSE))</f>
        <v/>
      </c>
      <c r="AD164" t="str">
        <f ca="1">IF(AND(ISNUMBER($AD$359),$B$185=1),$AD$359,HLOOKUP(INDIRECT(ADDRESS(2,COLUMN())),OFFSET($BN$2,0,0,ROW()-1,60),ROW()-1,FALSE))</f>
        <v/>
      </c>
      <c r="AE164" t="str">
        <f ca="1">IF(AND(ISNUMBER($AE$359),$B$185=1),$AE$359,HLOOKUP(INDIRECT(ADDRESS(2,COLUMN())),OFFSET($BN$2,0,0,ROW()-1,60),ROW()-1,FALSE))</f>
        <v/>
      </c>
      <c r="AF164" t="str">
        <f ca="1">IF(AND(ISNUMBER($AF$359),$B$185=1),$AF$359,HLOOKUP(INDIRECT(ADDRESS(2,COLUMN())),OFFSET($BN$2,0,0,ROW()-1,60),ROW()-1,FALSE))</f>
        <v/>
      </c>
      <c r="AG164" t="str">
        <f ca="1">IF(AND(ISNUMBER($AG$359),$B$185=1),$AG$359,HLOOKUP(INDIRECT(ADDRESS(2,COLUMN())),OFFSET($BN$2,0,0,ROW()-1,60),ROW()-1,FALSE))</f>
        <v/>
      </c>
      <c r="AH164" t="str">
        <f ca="1">IF(AND(ISNUMBER($AH$359),$B$185=1),$AH$359,HLOOKUP(INDIRECT(ADDRESS(2,COLUMN())),OFFSET($BN$2,0,0,ROW()-1,60),ROW()-1,FALSE))</f>
        <v/>
      </c>
      <c r="AI164" t="str">
        <f ca="1">IF(AND(ISNUMBER($AI$359),$B$185=1),$AI$359,HLOOKUP(INDIRECT(ADDRESS(2,COLUMN())),OFFSET($BN$2,0,0,ROW()-1,60),ROW()-1,FALSE))</f>
        <v/>
      </c>
      <c r="AJ164" t="str">
        <f ca="1">IF(AND(ISNUMBER($AJ$359),$B$185=1),$AJ$359,HLOOKUP(INDIRECT(ADDRESS(2,COLUMN())),OFFSET($BN$2,0,0,ROW()-1,60),ROW()-1,FALSE))</f>
        <v/>
      </c>
      <c r="AK164" t="str">
        <f ca="1">IF(AND(ISNUMBER($AK$359),$B$185=1),$AK$359,HLOOKUP(INDIRECT(ADDRESS(2,COLUMN())),OFFSET($BN$2,0,0,ROW()-1,60),ROW()-1,FALSE))</f>
        <v/>
      </c>
      <c r="AL164" t="str">
        <f ca="1">IF(AND(ISNUMBER($AL$359),$B$185=1),$AL$359,HLOOKUP(INDIRECT(ADDRESS(2,COLUMN())),OFFSET($BN$2,0,0,ROW()-1,60),ROW()-1,FALSE))</f>
        <v/>
      </c>
      <c r="AM164" t="str">
        <f ca="1">IF(AND(ISNUMBER($AM$359),$B$185=1),$AM$359,HLOOKUP(INDIRECT(ADDRESS(2,COLUMN())),OFFSET($BN$2,0,0,ROW()-1,60),ROW()-1,FALSE))</f>
        <v/>
      </c>
      <c r="AN164" t="str">
        <f ca="1">IF(AND(ISNUMBER($AN$359),$B$185=1),$AN$359,HLOOKUP(INDIRECT(ADDRESS(2,COLUMN())),OFFSET($BN$2,0,0,ROW()-1,60),ROW()-1,FALSE))</f>
        <v/>
      </c>
      <c r="AO164" t="str">
        <f ca="1">IF(AND(ISNUMBER($AO$359),$B$185=1),$AO$359,HLOOKUP(INDIRECT(ADDRESS(2,COLUMN())),OFFSET($BN$2,0,0,ROW()-1,60),ROW()-1,FALSE))</f>
        <v/>
      </c>
      <c r="AP164" t="str">
        <f ca="1">IF(AND(ISNUMBER($AP$359),$B$185=1),$AP$359,HLOOKUP(INDIRECT(ADDRESS(2,COLUMN())),OFFSET($BN$2,0,0,ROW()-1,60),ROW()-1,FALSE))</f>
        <v/>
      </c>
      <c r="AQ164" t="str">
        <f ca="1">IF(AND(ISNUMBER($AQ$359),$B$185=1),$AQ$359,HLOOKUP(INDIRECT(ADDRESS(2,COLUMN())),OFFSET($BN$2,0,0,ROW()-1,60),ROW()-1,FALSE))</f>
        <v/>
      </c>
      <c r="AR164" t="str">
        <f ca="1">IF(AND(ISNUMBER($AR$359),$B$185=1),$AR$359,HLOOKUP(INDIRECT(ADDRESS(2,COLUMN())),OFFSET($BN$2,0,0,ROW()-1,60),ROW()-1,FALSE))</f>
        <v/>
      </c>
      <c r="AS164" t="str">
        <f ca="1">IF(AND(ISNUMBER($AS$359),$B$185=1),$AS$359,HLOOKUP(INDIRECT(ADDRESS(2,COLUMN())),OFFSET($BN$2,0,0,ROW()-1,60),ROW()-1,FALSE))</f>
        <v/>
      </c>
      <c r="AT164" t="str">
        <f ca="1">IF(AND(ISNUMBER($AT$359),$B$185=1),$AT$359,HLOOKUP(INDIRECT(ADDRESS(2,COLUMN())),OFFSET($BN$2,0,0,ROW()-1,60),ROW()-1,FALSE))</f>
        <v/>
      </c>
      <c r="AU164" t="str">
        <f ca="1">IF(AND(ISNUMBER($AU$359),$B$185=1),$AU$359,HLOOKUP(INDIRECT(ADDRESS(2,COLUMN())),OFFSET($BN$2,0,0,ROW()-1,60),ROW()-1,FALSE))</f>
        <v/>
      </c>
      <c r="AV164" t="str">
        <f ca="1">IF(AND(ISNUMBER($AV$359),$B$185=1),$AV$359,HLOOKUP(INDIRECT(ADDRESS(2,COLUMN())),OFFSET($BN$2,0,0,ROW()-1,60),ROW()-1,FALSE))</f>
        <v/>
      </c>
      <c r="AW164" t="str">
        <f ca="1">IF(AND(ISNUMBER($AW$359),$B$185=1),$AW$359,HLOOKUP(INDIRECT(ADDRESS(2,COLUMN())),OFFSET($BN$2,0,0,ROW()-1,60),ROW()-1,FALSE))</f>
        <v/>
      </c>
      <c r="AX164" t="str">
        <f ca="1">IF(AND(ISNUMBER($AX$359),$B$185=1),$AX$359,HLOOKUP(INDIRECT(ADDRESS(2,COLUMN())),OFFSET($BN$2,0,0,ROW()-1,60),ROW()-1,FALSE))</f>
        <v/>
      </c>
      <c r="AY164" t="str">
        <f ca="1">IF(AND(ISNUMBER($AY$359),$B$185=1),$AY$359,HLOOKUP(INDIRECT(ADDRESS(2,COLUMN())),OFFSET($BN$2,0,0,ROW()-1,60),ROW()-1,FALSE))</f>
        <v/>
      </c>
      <c r="AZ164" t="str">
        <f ca="1">IF(AND(ISNUMBER($AZ$359),$B$185=1),$AZ$359,HLOOKUP(INDIRECT(ADDRESS(2,COLUMN())),OFFSET($BN$2,0,0,ROW()-1,60),ROW()-1,FALSE))</f>
        <v/>
      </c>
      <c r="BA164" t="str">
        <f ca="1">IF(AND(ISNUMBER($BA$359),$B$185=1),$BA$359,HLOOKUP(INDIRECT(ADDRESS(2,COLUMN())),OFFSET($BN$2,0,0,ROW()-1,60),ROW()-1,FALSE))</f>
        <v/>
      </c>
      <c r="BB164" t="str">
        <f ca="1">IF(AND(ISNUMBER($BB$359),$B$185=1),$BB$359,HLOOKUP(INDIRECT(ADDRESS(2,COLUMN())),OFFSET($BN$2,0,0,ROW()-1,60),ROW()-1,FALSE))</f>
        <v/>
      </c>
      <c r="BC164" t="str">
        <f ca="1">IF(AND(ISNUMBER($BC$359),$B$185=1),$BC$359,HLOOKUP(INDIRECT(ADDRESS(2,COLUMN())),OFFSET($BN$2,0,0,ROW()-1,60),ROW()-1,FALSE))</f>
        <v/>
      </c>
      <c r="BD164" t="str">
        <f ca="1">IF(AND(ISNUMBER($BD$359),$B$185=1),$BD$359,HLOOKUP(INDIRECT(ADDRESS(2,COLUMN())),OFFSET($BN$2,0,0,ROW()-1,60),ROW()-1,FALSE))</f>
        <v/>
      </c>
      <c r="BE164" t="str">
        <f ca="1">IF(AND(ISNUMBER($BE$359),$B$185=1),$BE$359,HLOOKUP(INDIRECT(ADDRESS(2,COLUMN())),OFFSET($BN$2,0,0,ROW()-1,60),ROW()-1,FALSE))</f>
        <v/>
      </c>
      <c r="BF164" t="str">
        <f ca="1">IF(AND(ISNUMBER($BF$359),$B$185=1),$BF$359,HLOOKUP(INDIRECT(ADDRESS(2,COLUMN())),OFFSET($BN$2,0,0,ROW()-1,60),ROW()-1,FALSE))</f>
        <v/>
      </c>
      <c r="BG164" t="str">
        <f ca="1">IF(AND(ISNUMBER($BG$359),$B$185=1),$BG$359,HLOOKUP(INDIRECT(ADDRESS(2,COLUMN())),OFFSET($BN$2,0,0,ROW()-1,60),ROW()-1,FALSE))</f>
        <v/>
      </c>
      <c r="BH164" t="str">
        <f ca="1">IF(AND(ISNUMBER($BH$359),$B$185=1),$BH$359,HLOOKUP(INDIRECT(ADDRESS(2,COLUMN())),OFFSET($BN$2,0,0,ROW()-1,60),ROW()-1,FALSE))</f>
        <v/>
      </c>
      <c r="BI164" t="str">
        <f ca="1">IF(AND(ISNUMBER($BI$359),$B$185=1),$BI$359,HLOOKUP(INDIRECT(ADDRESS(2,COLUMN())),OFFSET($BN$2,0,0,ROW()-1,60),ROW()-1,FALSE))</f>
        <v/>
      </c>
      <c r="BJ164" t="str">
        <f ca="1">IF(AND(ISNUMBER($BJ$359),$B$185=1),$BJ$359,HLOOKUP(INDIRECT(ADDRESS(2,COLUMN())),OFFSET($BN$2,0,0,ROW()-1,60),ROW()-1,FALSE))</f>
        <v/>
      </c>
      <c r="BK164" t="str">
        <f ca="1">IF(AND(ISNUMBER($BK$359),$B$185=1),$BK$359,HLOOKUP(INDIRECT(ADDRESS(2,COLUMN())),OFFSET($BN$2,0,0,ROW()-1,60),ROW()-1,FALSE))</f>
        <v/>
      </c>
      <c r="BL164" t="str">
        <f ca="1">IF(AND(ISNUMBER($BL$359),$B$185=1),$BL$359,HLOOKUP(INDIRECT(ADDRESS(2,COLUMN())),OFFSET($BN$2,0,0,ROW()-1,60),ROW()-1,FALSE))</f>
        <v/>
      </c>
      <c r="BM164" t="str">
        <f ca="1">IF(AND(ISNUMBER($BM$359),$B$185=1),$BM$359,HLOOKUP(INDIRECT(ADDRESS(2,COLUMN())),OFFSET($BN$2,0,0,ROW()-1,60),ROW()-1,FALSE))</f>
        <v/>
      </c>
      <c r="BN164" t="str">
        <f>""</f>
        <v/>
      </c>
      <c r="BO164" t="str">
        <f>""</f>
        <v/>
      </c>
      <c r="BP164" t="str">
        <f>""</f>
        <v/>
      </c>
      <c r="BQ164" t="str">
        <f>""</f>
        <v/>
      </c>
      <c r="BR164" t="str">
        <f>""</f>
        <v/>
      </c>
      <c r="BS164" t="str">
        <f>""</f>
        <v/>
      </c>
      <c r="BT164" t="str">
        <f>""</f>
        <v/>
      </c>
      <c r="BU164" t="str">
        <f>""</f>
        <v/>
      </c>
      <c r="BV164" t="str">
        <f>""</f>
        <v/>
      </c>
      <c r="BW164" t="str">
        <f>""</f>
        <v/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  <c r="CI164" t="str">
        <f>""</f>
        <v/>
      </c>
      <c r="CJ164" t="str">
        <f>""</f>
        <v/>
      </c>
      <c r="CK164" t="str">
        <f>""</f>
        <v/>
      </c>
      <c r="CL164" t="str">
        <f>""</f>
        <v/>
      </c>
      <c r="CM164" t="str">
        <f>""</f>
        <v/>
      </c>
      <c r="CN164" t="str">
        <f>""</f>
        <v/>
      </c>
      <c r="CO164" t="str">
        <f>""</f>
        <v/>
      </c>
      <c r="CP164" t="str">
        <f>""</f>
        <v/>
      </c>
      <c r="CQ164" t="str">
        <f>""</f>
        <v/>
      </c>
      <c r="CR164" t="str">
        <f>""</f>
        <v/>
      </c>
      <c r="CS164" t="str">
        <f>""</f>
        <v/>
      </c>
      <c r="CT164" t="str">
        <f>""</f>
        <v/>
      </c>
      <c r="CU164" t="str">
        <f>""</f>
        <v/>
      </c>
      <c r="CV164" t="str">
        <f>""</f>
        <v/>
      </c>
      <c r="CW164" t="str">
        <f>""</f>
        <v/>
      </c>
      <c r="CX164" t="str">
        <f>""</f>
        <v/>
      </c>
      <c r="CY164" t="str">
        <f>""</f>
        <v/>
      </c>
      <c r="CZ164" t="str">
        <f>""</f>
        <v/>
      </c>
      <c r="DA164" t="str">
        <f>""</f>
        <v/>
      </c>
      <c r="DB164" t="str">
        <f>""</f>
        <v/>
      </c>
      <c r="DC164" t="str">
        <f>""</f>
        <v/>
      </c>
      <c r="DD164" t="str">
        <f>""</f>
        <v/>
      </c>
      <c r="DE164" t="str">
        <f>""</f>
        <v/>
      </c>
      <c r="DF164" t="str">
        <f>""</f>
        <v/>
      </c>
      <c r="DG164" t="str">
        <f>""</f>
        <v/>
      </c>
      <c r="DH164" t="str">
        <f>""</f>
        <v/>
      </c>
      <c r="DI164" t="str">
        <f>""</f>
        <v/>
      </c>
      <c r="DJ164" t="str">
        <f>""</f>
        <v/>
      </c>
      <c r="DK164" t="str">
        <f>""</f>
        <v/>
      </c>
      <c r="DL164" t="str">
        <f>""</f>
        <v/>
      </c>
      <c r="DM164" t="str">
        <f>""</f>
        <v/>
      </c>
      <c r="DN164" t="str">
        <f>""</f>
        <v/>
      </c>
      <c r="DO164" t="str">
        <f>""</f>
        <v/>
      </c>
      <c r="DP164" t="str">
        <f>""</f>
        <v/>
      </c>
      <c r="DQ164" t="str">
        <f>""</f>
        <v/>
      </c>
      <c r="DR164" t="str">
        <f>""</f>
        <v/>
      </c>
      <c r="DS164" t="str">
        <f>""</f>
        <v/>
      </c>
      <c r="DT164" t="str">
        <f>""</f>
        <v/>
      </c>
      <c r="DU164" t="str">
        <f>""</f>
        <v/>
      </c>
    </row>
    <row r="165" spans="1:125">
      <c r="A165" t="str">
        <f>"    Truist Financial Corp"</f>
        <v xml:space="preserve">    Truist Financial Corp</v>
      </c>
      <c r="B165" t="str">
        <f>"TFC US Equity"</f>
        <v>TFC US Equity</v>
      </c>
      <c r="C165" t="str">
        <f t="shared" si="19"/>
        <v>BS963</v>
      </c>
      <c r="D165" t="str">
        <f t="shared" si="20"/>
        <v>BS_COMML_MTG_SERVICED_OTHERS</v>
      </c>
      <c r="E165" t="str">
        <f t="shared" si="21"/>
        <v>Dynamic</v>
      </c>
      <c r="F165">
        <f ca="1">IF(AND(ISNUMBER($F$360),$B$185=1),$F$360,HLOOKUP(INDIRECT(ADDRESS(2,COLUMN())),OFFSET($BN$2,0,0,ROW()-1,60),ROW()-1,FALSE))</f>
        <v>27845</v>
      </c>
      <c r="G165">
        <f ca="1">IF(AND(ISNUMBER($G$360),$B$185=1),$G$360,HLOOKUP(INDIRECT(ADDRESS(2,COLUMN())),OFFSET($BN$2,0,0,ROW()-1,60),ROW()-1,FALSE))</f>
        <v>28241</v>
      </c>
      <c r="H165">
        <f ca="1">IF(AND(ISNUMBER($H$360),$B$185=1),$H$360,HLOOKUP(INDIRECT(ADDRESS(2,COLUMN())),OFFSET($BN$2,0,0,ROW()-1,60),ROW()-1,FALSE))</f>
        <v>28964</v>
      </c>
      <c r="I165">
        <f ca="1">IF(AND(ISNUMBER($I$360),$B$185=1),$I$360,HLOOKUP(INDIRECT(ADDRESS(2,COLUMN())),OFFSET($BN$2,0,0,ROW()-1,60),ROW()-1,FALSE))</f>
        <v>29075</v>
      </c>
      <c r="J165">
        <f ca="1">IF(AND(ISNUMBER($J$360),$B$185=1),$J$360,HLOOKUP(INDIRECT(ADDRESS(2,COLUMN())),OFFSET($BN$2,0,0,ROW()-1,60),ROW()-1,FALSE))</f>
        <v>31681</v>
      </c>
      <c r="K165">
        <f ca="1">IF(AND(ISNUMBER($K$360),$B$185=1),$K$360,HLOOKUP(INDIRECT(ADDRESS(2,COLUMN())),OFFSET($BN$2,0,0,ROW()-1,60),ROW()-1,FALSE))</f>
        <v>34179</v>
      </c>
      <c r="L165">
        <f ca="1">IF(AND(ISNUMBER($L$360),$B$185=1),$L$360,HLOOKUP(INDIRECT(ADDRESS(2,COLUMN())),OFFSET($BN$2,0,0,ROW()-1,60),ROW()-1,FALSE))</f>
        <v>35076</v>
      </c>
      <c r="M165">
        <f ca="1">IF(AND(ISNUMBER($M$360),$B$185=1),$M$360,HLOOKUP(INDIRECT(ADDRESS(2,COLUMN())),OFFSET($BN$2,0,0,ROW()-1,60),ROW()-1,FALSE))</f>
        <v>36245</v>
      </c>
      <c r="N165">
        <f ca="1">IF(AND(ISNUMBER($N$360),$B$185=1),$N$360,HLOOKUP(INDIRECT(ADDRESS(2,COLUMN())),OFFSET($BN$2,0,0,ROW()-1,60),ROW()-1,FALSE))</f>
        <v>36622</v>
      </c>
      <c r="O165">
        <f ca="1">IF(AND(ISNUMBER($O$360),$B$185=1),$O$360,HLOOKUP(INDIRECT(ADDRESS(2,COLUMN())),OFFSET($BN$2,0,0,ROW()-1,60),ROW()-1,FALSE))</f>
        <v>36263</v>
      </c>
      <c r="P165">
        <f ca="1">IF(AND(ISNUMBER($P$360),$B$185=1),$P$360,HLOOKUP(INDIRECT(ADDRESS(2,COLUMN())),OFFSET($BN$2,0,0,ROW()-1,60),ROW()-1,FALSE))</f>
        <v>36759</v>
      </c>
      <c r="Q165">
        <f ca="1">IF(AND(ISNUMBER($Q$360),$B$185=1),$Q$360,HLOOKUP(INDIRECT(ADDRESS(2,COLUMN())),OFFSET($BN$2,0,0,ROW()-1,60),ROW()-1,FALSE))</f>
        <v>37397</v>
      </c>
      <c r="R165">
        <f ca="1">IF(AND(ISNUMBER($R$360),$B$185=1),$R$360,HLOOKUP(INDIRECT(ADDRESS(2,COLUMN())),OFFSET($BN$2,0,0,ROW()-1,60),ROW()-1,FALSE))</f>
        <v>37960</v>
      </c>
      <c r="S165">
        <f ca="1">IF(AND(ISNUMBER($S$360),$B$185=1),$S$360,HLOOKUP(INDIRECT(ADDRESS(2,COLUMN())),OFFSET($BN$2,0,0,ROW()-1,60),ROW()-1,FALSE))</f>
        <v>37437</v>
      </c>
      <c r="T165">
        <f ca="1">IF(AND(ISNUMBER($T$360),$B$185=1),$T$360,HLOOKUP(INDIRECT(ADDRESS(2,COLUMN())),OFFSET($BN$2,0,0,ROW()-1,60),ROW()-1,FALSE))</f>
        <v>37626</v>
      </c>
      <c r="U165">
        <f ca="1">IF(AND(ISNUMBER($U$360),$B$185=1),$U$360,HLOOKUP(INDIRECT(ADDRESS(2,COLUMN())),OFFSET($BN$2,0,0,ROW()-1,60),ROW()-1,FALSE))</f>
        <v>37089</v>
      </c>
      <c r="V165">
        <f ca="1">IF(AND(ISNUMBER($V$360),$B$185=1),$V$360,HLOOKUP(INDIRECT(ADDRESS(2,COLUMN())),OFFSET($BN$2,0,0,ROW()-1,60),ROW()-1,FALSE))</f>
        <v>36670</v>
      </c>
      <c r="W165">
        <f ca="1">IF(AND(ISNUMBER($W$360),$B$185=1),$W$360,HLOOKUP(INDIRECT(ADDRESS(2,COLUMN())),OFFSET($BN$2,0,0,ROW()-1,60),ROW()-1,FALSE))</f>
        <v>36410</v>
      </c>
      <c r="X165">
        <f ca="1">IF(AND(ISNUMBER($X$360),$B$185=1),$X$360,HLOOKUP(INDIRECT(ADDRESS(2,COLUMN())),OFFSET($BN$2,0,0,ROW()-1,60),ROW()-1,FALSE))</f>
        <v>72522</v>
      </c>
      <c r="Y165">
        <f ca="1">IF(AND(ISNUMBER($Y$360),$B$185=1),$Y$360,HLOOKUP(INDIRECT(ADDRESS(2,COLUMN())),OFFSET($BN$2,0,0,ROW()-1,60),ROW()-1,FALSE))</f>
        <v>71391</v>
      </c>
      <c r="Z165">
        <f ca="1">IF(AND(ISNUMBER($Z$360),$B$185=1),$Z$360,HLOOKUP(INDIRECT(ADDRESS(2,COLUMN())),OFFSET($BN$2,0,0,ROW()-1,60),ROW()-1,FALSE))</f>
        <v>70404</v>
      </c>
      <c r="AA165">
        <f ca="1">IF(AND(ISNUMBER($AA$360),$B$185=1),$AA$360,HLOOKUP(INDIRECT(ADDRESS(2,COLUMN())),OFFSET($BN$2,0,0,ROW()-1,60),ROW()-1,FALSE))</f>
        <v>27951</v>
      </c>
      <c r="AB165">
        <f ca="1">IF(AND(ISNUMBER($AB$360),$B$185=1),$AB$360,HLOOKUP(INDIRECT(ADDRESS(2,COLUMN())),OFFSET($BN$2,0,0,ROW()-1,60),ROW()-1,FALSE))</f>
        <v>27683</v>
      </c>
      <c r="AC165">
        <f ca="1">IF(AND(ISNUMBER($AC$360),$B$185=1),$AC$360,HLOOKUP(INDIRECT(ADDRESS(2,COLUMN())),OFFSET($BN$2,0,0,ROW()-1,60),ROW()-1,FALSE))</f>
        <v>27749</v>
      </c>
      <c r="AD165">
        <f ca="1">IF(AND(ISNUMBER($AD$360),$B$185=1),$AD$360,HLOOKUP(INDIRECT(ADDRESS(2,COLUMN())),OFFSET($BN$2,0,0,ROW()-1,60),ROW()-1,FALSE))</f>
        <v>27761</v>
      </c>
      <c r="AE165">
        <f ca="1">IF(AND(ISNUMBER($AE$360),$B$185=1),$AE$360,HLOOKUP(INDIRECT(ADDRESS(2,COLUMN())),OFFSET($BN$2,0,0,ROW()-1,60),ROW()-1,FALSE))</f>
        <v>27323</v>
      </c>
      <c r="AF165">
        <f ca="1">IF(AND(ISNUMBER($AF$360),$B$185=1),$AF$360,HLOOKUP(INDIRECT(ADDRESS(2,COLUMN())),OFFSET($BN$2,0,0,ROW()-1,60),ROW()-1,FALSE))</f>
        <v>27586</v>
      </c>
      <c r="AG165">
        <f ca="1">IF(AND(ISNUMBER($AG$360),$B$185=1),$AG$360,HLOOKUP(INDIRECT(ADDRESS(2,COLUMN())),OFFSET($BN$2,0,0,ROW()-1,60),ROW()-1,FALSE))</f>
        <v>27472</v>
      </c>
      <c r="AH165">
        <f ca="1">IF(AND(ISNUMBER($AH$360),$B$185=1),$AH$360,HLOOKUP(INDIRECT(ADDRESS(2,COLUMN())),OFFSET($BN$2,0,0,ROW()-1,60),ROW()-1,FALSE))</f>
        <v>28441</v>
      </c>
      <c r="AI165">
        <f ca="1">IF(AND(ISNUMBER($AI$360),$B$185=1),$AI$360,HLOOKUP(INDIRECT(ADDRESS(2,COLUMN())),OFFSET($BN$2,0,0,ROW()-1,60),ROW()-1,FALSE))</f>
        <v>28122</v>
      </c>
      <c r="AJ165">
        <f ca="1">IF(AND(ISNUMBER($AJ$360),$B$185=1),$AJ$360,HLOOKUP(INDIRECT(ADDRESS(2,COLUMN())),OFFSET($BN$2,0,0,ROW()-1,60),ROW()-1,FALSE))</f>
        <v>28999</v>
      </c>
      <c r="AK165">
        <f ca="1">IF(AND(ISNUMBER($AK$360),$B$185=1),$AK$360,HLOOKUP(INDIRECT(ADDRESS(2,COLUMN())),OFFSET($BN$2,0,0,ROW()-1,60),ROW()-1,FALSE))</f>
        <v>29289</v>
      </c>
      <c r="AL165">
        <f ca="1">IF(AND(ISNUMBER($AL$360),$B$185=1),$AL$360,HLOOKUP(INDIRECT(ADDRESS(2,COLUMN())),OFFSET($BN$2,0,0,ROW()-1,60),ROW()-1,FALSE))</f>
        <v>29333</v>
      </c>
      <c r="AM165">
        <f ca="1">IF(AND(ISNUMBER($AM$360),$B$185=1),$AM$360,HLOOKUP(INDIRECT(ADDRESS(2,COLUMN())),OFFSET($BN$2,0,0,ROW()-1,60),ROW()-1,FALSE))</f>
        <v>29146</v>
      </c>
      <c r="AN165">
        <f ca="1">IF(AND(ISNUMBER($AN$360),$B$185=1),$AN$360,HLOOKUP(INDIRECT(ADDRESS(2,COLUMN())),OFFSET($BN$2,0,0,ROW()-1,60),ROW()-1,FALSE))</f>
        <v>28455</v>
      </c>
      <c r="AO165">
        <f ca="1">IF(AND(ISNUMBER($AO$360),$B$185=1),$AO$360,HLOOKUP(INDIRECT(ADDRESS(2,COLUMN())),OFFSET($BN$2,0,0,ROW()-1,60),ROW()-1,FALSE))</f>
        <v>28245</v>
      </c>
      <c r="AP165">
        <f ca="1">IF(AND(ISNUMBER($AP$360),$B$185=1),$AP$360,HLOOKUP(INDIRECT(ADDRESS(2,COLUMN())),OFFSET($BN$2,0,0,ROW()-1,60),ROW()-1,FALSE))</f>
        <v>28163</v>
      </c>
      <c r="AQ165">
        <f ca="1">IF(AND(ISNUMBER($AQ$360),$B$185=1),$AQ$360,HLOOKUP(INDIRECT(ADDRESS(2,COLUMN())),OFFSET($BN$2,0,0,ROW()-1,60),ROW()-1,FALSE))</f>
        <v>27909</v>
      </c>
      <c r="AR165">
        <f ca="1">IF(AND(ISNUMBER($AR$360),$B$185=1),$AR$360,HLOOKUP(INDIRECT(ADDRESS(2,COLUMN())),OFFSET($BN$2,0,0,ROW()-1,60),ROW()-1,FALSE))</f>
        <v>28039</v>
      </c>
      <c r="AS165">
        <f ca="1">IF(AND(ISNUMBER($AS$360),$B$185=1),$AS$360,HLOOKUP(INDIRECT(ADDRESS(2,COLUMN())),OFFSET($BN$2,0,0,ROW()-1,60),ROW()-1,FALSE))</f>
        <v>27805</v>
      </c>
      <c r="AT165">
        <f ca="1">IF(AND(ISNUMBER($AT$360),$B$185=1),$AT$360,HLOOKUP(INDIRECT(ADDRESS(2,COLUMN())),OFFSET($BN$2,0,0,ROW()-1,60),ROW()-1,FALSE))</f>
        <v>27599</v>
      </c>
      <c r="AU165">
        <f ca="1">IF(AND(ISNUMBER($AU$360),$B$185=1),$AU$360,HLOOKUP(INDIRECT(ADDRESS(2,COLUMN())),OFFSET($BN$2,0,0,ROW()-1,60),ROW()-1,FALSE))</f>
        <v>27739</v>
      </c>
      <c r="AV165">
        <f ca="1">IF(AND(ISNUMBER($AV$360),$B$185=1),$AV$360,HLOOKUP(INDIRECT(ADDRESS(2,COLUMN())),OFFSET($BN$2,0,0,ROW()-1,60),ROW()-1,FALSE))</f>
        <v>27697</v>
      </c>
      <c r="AW165">
        <f ca="1">IF(AND(ISNUMBER($AW$360),$B$185=1),$AW$360,HLOOKUP(INDIRECT(ADDRESS(2,COLUMN())),OFFSET($BN$2,0,0,ROW()-1,60),ROW()-1,FALSE))</f>
        <v>27878</v>
      </c>
      <c r="AX165">
        <f ca="1">IF(AND(ISNUMBER($AX$360),$B$185=1),$AX$360,HLOOKUP(INDIRECT(ADDRESS(2,COLUMN())),OFFSET($BN$2,0,0,ROW()-1,60),ROW()-1,FALSE))</f>
        <v>28095</v>
      </c>
      <c r="AY165">
        <f ca="1">IF(AND(ISNUMBER($AY$360),$B$185=1),$AY$360,HLOOKUP(INDIRECT(ADDRESS(2,COLUMN())),OFFSET($BN$2,0,0,ROW()-1,60),ROW()-1,FALSE))</f>
        <v>28049</v>
      </c>
      <c r="AZ165">
        <f ca="1">IF(AND(ISNUMBER($AZ$360),$B$185=1),$AZ$360,HLOOKUP(INDIRECT(ADDRESS(2,COLUMN())),OFFSET($BN$2,0,0,ROW()-1,60),ROW()-1,FALSE))</f>
        <v>28461</v>
      </c>
      <c r="BA165">
        <f ca="1">IF(AND(ISNUMBER($BA$360),$B$185=1),$BA$360,HLOOKUP(INDIRECT(ADDRESS(2,COLUMN())),OFFSET($BN$2,0,0,ROW()-1,60),ROW()-1,FALSE))</f>
        <v>28910</v>
      </c>
      <c r="BB165">
        <f ca="1">IF(AND(ISNUMBER($BB$360),$B$185=1),$BB$360,HLOOKUP(INDIRECT(ADDRESS(2,COLUMN())),OFFSET($BN$2,0,0,ROW()-1,60),ROW()-1,FALSE))</f>
        <v>29520</v>
      </c>
      <c r="BC165">
        <f ca="1">IF(AND(ISNUMBER($BC$360),$B$185=1),$BC$360,HLOOKUP(INDIRECT(ADDRESS(2,COLUMN())),OFFSET($BN$2,0,0,ROW()-1,60),ROW()-1,FALSE))</f>
        <v>25982</v>
      </c>
      <c r="BD165">
        <f ca="1">IF(AND(ISNUMBER($BD$360),$B$185=1),$BD$360,HLOOKUP(INDIRECT(ADDRESS(2,COLUMN())),OFFSET($BN$2,0,0,ROW()-1,60),ROW()-1,FALSE))</f>
        <v>32778</v>
      </c>
      <c r="BE165">
        <f ca="1">IF(AND(ISNUMBER($BE$360),$B$185=1),$BE$360,HLOOKUP(INDIRECT(ADDRESS(2,COLUMN())),OFFSET($BN$2,0,0,ROW()-1,60),ROW()-1,FALSE))</f>
        <v>25800</v>
      </c>
      <c r="BF165">
        <f ca="1">IF(AND(ISNUMBER($BF$360),$B$185=1),$BF$360,HLOOKUP(INDIRECT(ADDRESS(2,COLUMN())),OFFSET($BN$2,0,0,ROW()-1,60),ROW()-1,FALSE))</f>
        <v>25400</v>
      </c>
      <c r="BG165">
        <f ca="1">IF(AND(ISNUMBER($BG$360),$B$185=1),$BG$360,HLOOKUP(INDIRECT(ADDRESS(2,COLUMN())),OFFSET($BN$2,0,0,ROW()-1,60),ROW()-1,FALSE))</f>
        <v>24985</v>
      </c>
      <c r="BH165">
        <f ca="1">IF(AND(ISNUMBER($BH$360),$B$185=1),$BH$360,HLOOKUP(INDIRECT(ADDRESS(2,COLUMN())),OFFSET($BN$2,0,0,ROW()-1,60),ROW()-1,FALSE))</f>
        <v>24408</v>
      </c>
      <c r="BI165">
        <f ca="1">IF(AND(ISNUMBER($BI$360),$B$185=1),$BI$360,HLOOKUP(INDIRECT(ADDRESS(2,COLUMN())),OFFSET($BN$2,0,0,ROW()-1,60),ROW()-1,FALSE))</f>
        <v>24371</v>
      </c>
      <c r="BJ165">
        <f ca="1">IF(AND(ISNUMBER($BJ$360),$B$185=1),$BJ$360,HLOOKUP(INDIRECT(ADDRESS(2,COLUMN())),OFFSET($BN$2,0,0,ROW()-1,60),ROW()-1,FALSE))</f>
        <v>24100</v>
      </c>
      <c r="BK165">
        <f ca="1">IF(AND(ISNUMBER($BK$360),$B$185=1),$BK$360,HLOOKUP(INDIRECT(ADDRESS(2,COLUMN())),OFFSET($BN$2,0,0,ROW()-1,60),ROW()-1,FALSE))</f>
        <v>23757</v>
      </c>
      <c r="BL165">
        <f ca="1">IF(AND(ISNUMBER($BL$360),$B$185=1),$BL$360,HLOOKUP(INDIRECT(ADDRESS(2,COLUMN())),OFFSET($BN$2,0,0,ROW()-1,60),ROW()-1,FALSE))</f>
        <v>23815</v>
      </c>
      <c r="BM165" t="str">
        <f ca="1">IF(AND(ISNUMBER($BM$360),$B$185=1),$BM$360,HLOOKUP(INDIRECT(ADDRESS(2,COLUMN())),OFFSET($BN$2,0,0,ROW()-1,60),ROW()-1,FALSE))</f>
        <v/>
      </c>
      <c r="BN165">
        <f>27845</f>
        <v>27845</v>
      </c>
      <c r="BO165">
        <f>28241</f>
        <v>28241</v>
      </c>
      <c r="BP165">
        <f>28964</f>
        <v>28964</v>
      </c>
      <c r="BQ165">
        <f>29075</f>
        <v>29075</v>
      </c>
      <c r="BR165">
        <f>31681</f>
        <v>31681</v>
      </c>
      <c r="BS165">
        <f>34179</f>
        <v>34179</v>
      </c>
      <c r="BT165">
        <f>35076</f>
        <v>35076</v>
      </c>
      <c r="BU165">
        <f>36245</f>
        <v>36245</v>
      </c>
      <c r="BV165">
        <f>36622</f>
        <v>36622</v>
      </c>
      <c r="BW165">
        <f>36263</f>
        <v>36263</v>
      </c>
      <c r="BX165">
        <f>36759</f>
        <v>36759</v>
      </c>
      <c r="BY165">
        <f>37397</f>
        <v>37397</v>
      </c>
      <c r="BZ165">
        <f>37960</f>
        <v>37960</v>
      </c>
      <c r="CA165">
        <f>37437</f>
        <v>37437</v>
      </c>
      <c r="CB165">
        <f>37626</f>
        <v>37626</v>
      </c>
      <c r="CC165">
        <f>37089</f>
        <v>37089</v>
      </c>
      <c r="CD165">
        <f>36670</f>
        <v>36670</v>
      </c>
      <c r="CE165">
        <f>36410</f>
        <v>36410</v>
      </c>
      <c r="CF165">
        <f>72522</f>
        <v>72522</v>
      </c>
      <c r="CG165">
        <f>71391</f>
        <v>71391</v>
      </c>
      <c r="CH165">
        <f>70404</f>
        <v>70404</v>
      </c>
      <c r="CI165">
        <f>27951</f>
        <v>27951</v>
      </c>
      <c r="CJ165">
        <f>27683</f>
        <v>27683</v>
      </c>
      <c r="CK165">
        <f>27749</f>
        <v>27749</v>
      </c>
      <c r="CL165">
        <f>27761</f>
        <v>27761</v>
      </c>
      <c r="CM165">
        <f>27323</f>
        <v>27323</v>
      </c>
      <c r="CN165">
        <f>27586</f>
        <v>27586</v>
      </c>
      <c r="CO165">
        <f>27472</f>
        <v>27472</v>
      </c>
      <c r="CP165">
        <f>28441</f>
        <v>28441</v>
      </c>
      <c r="CQ165">
        <f>28122</f>
        <v>28122</v>
      </c>
      <c r="CR165">
        <f>28999</f>
        <v>28999</v>
      </c>
      <c r="CS165">
        <f>29289</f>
        <v>29289</v>
      </c>
      <c r="CT165">
        <f>29333</f>
        <v>29333</v>
      </c>
      <c r="CU165">
        <f>29146</f>
        <v>29146</v>
      </c>
      <c r="CV165">
        <f>28455</f>
        <v>28455</v>
      </c>
      <c r="CW165">
        <f>28245</f>
        <v>28245</v>
      </c>
      <c r="CX165">
        <f>28163</f>
        <v>28163</v>
      </c>
      <c r="CY165">
        <f>27909</f>
        <v>27909</v>
      </c>
      <c r="CZ165">
        <f>28039</f>
        <v>28039</v>
      </c>
      <c r="DA165">
        <f>27805</f>
        <v>27805</v>
      </c>
      <c r="DB165">
        <f>27599</f>
        <v>27599</v>
      </c>
      <c r="DC165">
        <f>27739</f>
        <v>27739</v>
      </c>
      <c r="DD165">
        <f>27697</f>
        <v>27697</v>
      </c>
      <c r="DE165">
        <f>27878</f>
        <v>27878</v>
      </c>
      <c r="DF165">
        <f>28095</f>
        <v>28095</v>
      </c>
      <c r="DG165">
        <f>28049</f>
        <v>28049</v>
      </c>
      <c r="DH165">
        <f>28461</f>
        <v>28461</v>
      </c>
      <c r="DI165">
        <f>28910</f>
        <v>28910</v>
      </c>
      <c r="DJ165">
        <f>29520</f>
        <v>29520</v>
      </c>
      <c r="DK165">
        <f>25982</f>
        <v>25982</v>
      </c>
      <c r="DL165">
        <f>32778</f>
        <v>32778</v>
      </c>
      <c r="DM165">
        <f>25800</f>
        <v>25800</v>
      </c>
      <c r="DN165">
        <f>25400</f>
        <v>25400</v>
      </c>
      <c r="DO165">
        <f>24985</f>
        <v>24985</v>
      </c>
      <c r="DP165">
        <f>24408</f>
        <v>24408</v>
      </c>
      <c r="DQ165">
        <f>24371</f>
        <v>24371</v>
      </c>
      <c r="DR165">
        <f>24100</f>
        <v>24100</v>
      </c>
      <c r="DS165">
        <f>23757</f>
        <v>23757</v>
      </c>
      <c r="DT165">
        <f>23815</f>
        <v>23815</v>
      </c>
      <c r="DU165" t="str">
        <f>""</f>
        <v/>
      </c>
    </row>
    <row r="166" spans="1:125">
      <c r="A166" t="str">
        <f>"    US Bancorp"</f>
        <v xml:space="preserve">    US Bancorp</v>
      </c>
      <c r="B166" t="str">
        <f>"USB US Equity"</f>
        <v>USB US Equity</v>
      </c>
      <c r="C166" t="str">
        <f t="shared" si="19"/>
        <v>BS963</v>
      </c>
      <c r="D166" t="str">
        <f t="shared" si="20"/>
        <v>BS_COMML_MTG_SERVICED_OTHERS</v>
      </c>
      <c r="E166" t="str">
        <f t="shared" si="21"/>
        <v>Dynamic</v>
      </c>
      <c r="F166" t="str">
        <f ca="1">IF(AND(ISNUMBER($F$361),$B$185=1),$F$361,HLOOKUP(INDIRECT(ADDRESS(2,COLUMN())),OFFSET($BN$2,0,0,ROW()-1,60),ROW()-1,FALSE))</f>
        <v/>
      </c>
      <c r="G166" t="str">
        <f ca="1">IF(AND(ISNUMBER($G$361),$B$185=1),$G$361,HLOOKUP(INDIRECT(ADDRESS(2,COLUMN())),OFFSET($BN$2,0,0,ROW()-1,60),ROW()-1,FALSE))</f>
        <v/>
      </c>
      <c r="H166" t="str">
        <f ca="1">IF(AND(ISNUMBER($H$361),$B$185=1),$H$361,HLOOKUP(INDIRECT(ADDRESS(2,COLUMN())),OFFSET($BN$2,0,0,ROW()-1,60),ROW()-1,FALSE))</f>
        <v/>
      </c>
      <c r="I166" t="str">
        <f ca="1">IF(AND(ISNUMBER($I$361),$B$185=1),$I$361,HLOOKUP(INDIRECT(ADDRESS(2,COLUMN())),OFFSET($BN$2,0,0,ROW()-1,60),ROW()-1,FALSE))</f>
        <v/>
      </c>
      <c r="J166" t="str">
        <f ca="1">IF(AND(ISNUMBER($J$361),$B$185=1),$J$361,HLOOKUP(INDIRECT(ADDRESS(2,COLUMN())),OFFSET($BN$2,0,0,ROW()-1,60),ROW()-1,FALSE))</f>
        <v/>
      </c>
      <c r="K166" t="str">
        <f ca="1">IF(AND(ISNUMBER($K$361),$B$185=1),$K$361,HLOOKUP(INDIRECT(ADDRESS(2,COLUMN())),OFFSET($BN$2,0,0,ROW()-1,60),ROW()-1,FALSE))</f>
        <v/>
      </c>
      <c r="L166" t="str">
        <f ca="1">IF(AND(ISNUMBER($L$361),$B$185=1),$L$361,HLOOKUP(INDIRECT(ADDRESS(2,COLUMN())),OFFSET($BN$2,0,0,ROW()-1,60),ROW()-1,FALSE))</f>
        <v/>
      </c>
      <c r="M166" t="str">
        <f ca="1">IF(AND(ISNUMBER($M$361),$B$185=1),$M$361,HLOOKUP(INDIRECT(ADDRESS(2,COLUMN())),OFFSET($BN$2,0,0,ROW()-1,60),ROW()-1,FALSE))</f>
        <v/>
      </c>
      <c r="N166" t="str">
        <f ca="1">IF(AND(ISNUMBER($N$361),$B$185=1),$N$361,HLOOKUP(INDIRECT(ADDRESS(2,COLUMN())),OFFSET($BN$2,0,0,ROW()-1,60),ROW()-1,FALSE))</f>
        <v/>
      </c>
      <c r="O166" t="str">
        <f ca="1">IF(AND(ISNUMBER($O$361),$B$185=1),$O$361,HLOOKUP(INDIRECT(ADDRESS(2,COLUMN())),OFFSET($BN$2,0,0,ROW()-1,60),ROW()-1,FALSE))</f>
        <v/>
      </c>
      <c r="P166" t="str">
        <f ca="1">IF(AND(ISNUMBER($P$361),$B$185=1),$P$361,HLOOKUP(INDIRECT(ADDRESS(2,COLUMN())),OFFSET($BN$2,0,0,ROW()-1,60),ROW()-1,FALSE))</f>
        <v/>
      </c>
      <c r="Q166" t="str">
        <f ca="1">IF(AND(ISNUMBER($Q$361),$B$185=1),$Q$361,HLOOKUP(INDIRECT(ADDRESS(2,COLUMN())),OFFSET($BN$2,0,0,ROW()-1,60),ROW()-1,FALSE))</f>
        <v/>
      </c>
      <c r="R166" t="str">
        <f ca="1">IF(AND(ISNUMBER($R$361),$B$185=1),$R$361,HLOOKUP(INDIRECT(ADDRESS(2,COLUMN())),OFFSET($BN$2,0,0,ROW()-1,60),ROW()-1,FALSE))</f>
        <v/>
      </c>
      <c r="S166" t="str">
        <f ca="1">IF(AND(ISNUMBER($S$361),$B$185=1),$S$361,HLOOKUP(INDIRECT(ADDRESS(2,COLUMN())),OFFSET($BN$2,0,0,ROW()-1,60),ROW()-1,FALSE))</f>
        <v/>
      </c>
      <c r="T166" t="str">
        <f ca="1">IF(AND(ISNUMBER($T$361),$B$185=1),$T$361,HLOOKUP(INDIRECT(ADDRESS(2,COLUMN())),OFFSET($BN$2,0,0,ROW()-1,60),ROW()-1,FALSE))</f>
        <v/>
      </c>
      <c r="U166" t="str">
        <f ca="1">IF(AND(ISNUMBER($U$361),$B$185=1),$U$361,HLOOKUP(INDIRECT(ADDRESS(2,COLUMN())),OFFSET($BN$2,0,0,ROW()-1,60),ROW()-1,FALSE))</f>
        <v/>
      </c>
      <c r="V166" t="str">
        <f ca="1">IF(AND(ISNUMBER($V$361),$B$185=1),$V$361,HLOOKUP(INDIRECT(ADDRESS(2,COLUMN())),OFFSET($BN$2,0,0,ROW()-1,60),ROW()-1,FALSE))</f>
        <v/>
      </c>
      <c r="W166" t="str">
        <f ca="1">IF(AND(ISNUMBER($W$361),$B$185=1),$W$361,HLOOKUP(INDIRECT(ADDRESS(2,COLUMN())),OFFSET($BN$2,0,0,ROW()-1,60),ROW()-1,FALSE))</f>
        <v/>
      </c>
      <c r="X166" t="str">
        <f ca="1">IF(AND(ISNUMBER($X$361),$B$185=1),$X$361,HLOOKUP(INDIRECT(ADDRESS(2,COLUMN())),OFFSET($BN$2,0,0,ROW()-1,60),ROW()-1,FALSE))</f>
        <v/>
      </c>
      <c r="Y166" t="str">
        <f ca="1">IF(AND(ISNUMBER($Y$361),$B$185=1),$Y$361,HLOOKUP(INDIRECT(ADDRESS(2,COLUMN())),OFFSET($BN$2,0,0,ROW()-1,60),ROW()-1,FALSE))</f>
        <v/>
      </c>
      <c r="Z166" t="str">
        <f ca="1">IF(AND(ISNUMBER($Z$361),$B$185=1),$Z$361,HLOOKUP(INDIRECT(ADDRESS(2,COLUMN())),OFFSET($BN$2,0,0,ROW()-1,60),ROW()-1,FALSE))</f>
        <v/>
      </c>
      <c r="AA166" t="str">
        <f ca="1">IF(AND(ISNUMBER($AA$361),$B$185=1),$AA$361,HLOOKUP(INDIRECT(ADDRESS(2,COLUMN())),OFFSET($BN$2,0,0,ROW()-1,60),ROW()-1,FALSE))</f>
        <v/>
      </c>
      <c r="AB166" t="str">
        <f ca="1">IF(AND(ISNUMBER($AB$361),$B$185=1),$AB$361,HLOOKUP(INDIRECT(ADDRESS(2,COLUMN())),OFFSET($BN$2,0,0,ROW()-1,60),ROW()-1,FALSE))</f>
        <v/>
      </c>
      <c r="AC166" t="str">
        <f ca="1">IF(AND(ISNUMBER($AC$361),$B$185=1),$AC$361,HLOOKUP(INDIRECT(ADDRESS(2,COLUMN())),OFFSET($BN$2,0,0,ROW()-1,60),ROW()-1,FALSE))</f>
        <v/>
      </c>
      <c r="AD166" t="str">
        <f ca="1">IF(AND(ISNUMBER($AD$361),$B$185=1),$AD$361,HLOOKUP(INDIRECT(ADDRESS(2,COLUMN())),OFFSET($BN$2,0,0,ROW()-1,60),ROW()-1,FALSE))</f>
        <v/>
      </c>
      <c r="AE166" t="str">
        <f ca="1">IF(AND(ISNUMBER($AE$361),$B$185=1),$AE$361,HLOOKUP(INDIRECT(ADDRESS(2,COLUMN())),OFFSET($BN$2,0,0,ROW()-1,60),ROW()-1,FALSE))</f>
        <v/>
      </c>
      <c r="AF166" t="str">
        <f ca="1">IF(AND(ISNUMBER($AF$361),$B$185=1),$AF$361,HLOOKUP(INDIRECT(ADDRESS(2,COLUMN())),OFFSET($BN$2,0,0,ROW()-1,60),ROW()-1,FALSE))</f>
        <v/>
      </c>
      <c r="AG166" t="str">
        <f ca="1">IF(AND(ISNUMBER($AG$361),$B$185=1),$AG$361,HLOOKUP(INDIRECT(ADDRESS(2,COLUMN())),OFFSET($BN$2,0,0,ROW()-1,60),ROW()-1,FALSE))</f>
        <v/>
      </c>
      <c r="AH166" t="str">
        <f ca="1">IF(AND(ISNUMBER($AH$361),$B$185=1),$AH$361,HLOOKUP(INDIRECT(ADDRESS(2,COLUMN())),OFFSET($BN$2,0,0,ROW()-1,60),ROW()-1,FALSE))</f>
        <v/>
      </c>
      <c r="AI166" t="str">
        <f ca="1">IF(AND(ISNUMBER($AI$361),$B$185=1),$AI$361,HLOOKUP(INDIRECT(ADDRESS(2,COLUMN())),OFFSET($BN$2,0,0,ROW()-1,60),ROW()-1,FALSE))</f>
        <v/>
      </c>
      <c r="AJ166" t="str">
        <f ca="1">IF(AND(ISNUMBER($AJ$361),$B$185=1),$AJ$361,HLOOKUP(INDIRECT(ADDRESS(2,COLUMN())),OFFSET($BN$2,0,0,ROW()-1,60),ROW()-1,FALSE))</f>
        <v/>
      </c>
      <c r="AK166" t="str">
        <f ca="1">IF(AND(ISNUMBER($AK$361),$B$185=1),$AK$361,HLOOKUP(INDIRECT(ADDRESS(2,COLUMN())),OFFSET($BN$2,0,0,ROW()-1,60),ROW()-1,FALSE))</f>
        <v/>
      </c>
      <c r="AL166" t="str">
        <f ca="1">IF(AND(ISNUMBER($AL$361),$B$185=1),$AL$361,HLOOKUP(INDIRECT(ADDRESS(2,COLUMN())),OFFSET($BN$2,0,0,ROW()-1,60),ROW()-1,FALSE))</f>
        <v/>
      </c>
      <c r="AM166" t="str">
        <f ca="1">IF(AND(ISNUMBER($AM$361),$B$185=1),$AM$361,HLOOKUP(INDIRECT(ADDRESS(2,COLUMN())),OFFSET($BN$2,0,0,ROW()-1,60),ROW()-1,FALSE))</f>
        <v/>
      </c>
      <c r="AN166" t="str">
        <f ca="1">IF(AND(ISNUMBER($AN$361),$B$185=1),$AN$361,HLOOKUP(INDIRECT(ADDRESS(2,COLUMN())),OFFSET($BN$2,0,0,ROW()-1,60),ROW()-1,FALSE))</f>
        <v/>
      </c>
      <c r="AO166" t="str">
        <f ca="1">IF(AND(ISNUMBER($AO$361),$B$185=1),$AO$361,HLOOKUP(INDIRECT(ADDRESS(2,COLUMN())),OFFSET($BN$2,0,0,ROW()-1,60),ROW()-1,FALSE))</f>
        <v/>
      </c>
      <c r="AP166" t="str">
        <f ca="1">IF(AND(ISNUMBER($AP$361),$B$185=1),$AP$361,HLOOKUP(INDIRECT(ADDRESS(2,COLUMN())),OFFSET($BN$2,0,0,ROW()-1,60),ROW()-1,FALSE))</f>
        <v/>
      </c>
      <c r="AQ166" t="str">
        <f ca="1">IF(AND(ISNUMBER($AQ$361),$B$185=1),$AQ$361,HLOOKUP(INDIRECT(ADDRESS(2,COLUMN())),OFFSET($BN$2,0,0,ROW()-1,60),ROW()-1,FALSE))</f>
        <v/>
      </c>
      <c r="AR166" t="str">
        <f ca="1">IF(AND(ISNUMBER($AR$361),$B$185=1),$AR$361,HLOOKUP(INDIRECT(ADDRESS(2,COLUMN())),OFFSET($BN$2,0,0,ROW()-1,60),ROW()-1,FALSE))</f>
        <v/>
      </c>
      <c r="AS166" t="str">
        <f ca="1">IF(AND(ISNUMBER($AS$361),$B$185=1),$AS$361,HLOOKUP(INDIRECT(ADDRESS(2,COLUMN())),OFFSET($BN$2,0,0,ROW()-1,60),ROW()-1,FALSE))</f>
        <v/>
      </c>
      <c r="AT166" t="str">
        <f ca="1">IF(AND(ISNUMBER($AT$361),$B$185=1),$AT$361,HLOOKUP(INDIRECT(ADDRESS(2,COLUMN())),OFFSET($BN$2,0,0,ROW()-1,60),ROW()-1,FALSE))</f>
        <v/>
      </c>
      <c r="AU166" t="str">
        <f ca="1">IF(AND(ISNUMBER($AU$361),$B$185=1),$AU$361,HLOOKUP(INDIRECT(ADDRESS(2,COLUMN())),OFFSET($BN$2,0,0,ROW()-1,60),ROW()-1,FALSE))</f>
        <v/>
      </c>
      <c r="AV166" t="str">
        <f ca="1">IF(AND(ISNUMBER($AV$361),$B$185=1),$AV$361,HLOOKUP(INDIRECT(ADDRESS(2,COLUMN())),OFFSET($BN$2,0,0,ROW()-1,60),ROW()-1,FALSE))</f>
        <v/>
      </c>
      <c r="AW166" t="str">
        <f ca="1">IF(AND(ISNUMBER($AW$361),$B$185=1),$AW$361,HLOOKUP(INDIRECT(ADDRESS(2,COLUMN())),OFFSET($BN$2,0,0,ROW()-1,60),ROW()-1,FALSE))</f>
        <v/>
      </c>
      <c r="AX166" t="str">
        <f ca="1">IF(AND(ISNUMBER($AX$361),$B$185=1),$AX$361,HLOOKUP(INDIRECT(ADDRESS(2,COLUMN())),OFFSET($BN$2,0,0,ROW()-1,60),ROW()-1,FALSE))</f>
        <v/>
      </c>
      <c r="AY166" t="str">
        <f ca="1">IF(AND(ISNUMBER($AY$361),$B$185=1),$AY$361,HLOOKUP(INDIRECT(ADDRESS(2,COLUMN())),OFFSET($BN$2,0,0,ROW()-1,60),ROW()-1,FALSE))</f>
        <v/>
      </c>
      <c r="AZ166" t="str">
        <f ca="1">IF(AND(ISNUMBER($AZ$361),$B$185=1),$AZ$361,HLOOKUP(INDIRECT(ADDRESS(2,COLUMN())),OFFSET($BN$2,0,0,ROW()-1,60),ROW()-1,FALSE))</f>
        <v/>
      </c>
      <c r="BA166" t="str">
        <f ca="1">IF(AND(ISNUMBER($BA$361),$B$185=1),$BA$361,HLOOKUP(INDIRECT(ADDRESS(2,COLUMN())),OFFSET($BN$2,0,0,ROW()-1,60),ROW()-1,FALSE))</f>
        <v/>
      </c>
      <c r="BB166" t="str">
        <f ca="1">IF(AND(ISNUMBER($BB$361),$B$185=1),$BB$361,HLOOKUP(INDIRECT(ADDRESS(2,COLUMN())),OFFSET($BN$2,0,0,ROW()-1,60),ROW()-1,FALSE))</f>
        <v/>
      </c>
      <c r="BC166" t="str">
        <f ca="1">IF(AND(ISNUMBER($BC$361),$B$185=1),$BC$361,HLOOKUP(INDIRECT(ADDRESS(2,COLUMN())),OFFSET($BN$2,0,0,ROW()-1,60),ROW()-1,FALSE))</f>
        <v/>
      </c>
      <c r="BD166" t="str">
        <f ca="1">IF(AND(ISNUMBER($BD$361),$B$185=1),$BD$361,HLOOKUP(INDIRECT(ADDRESS(2,COLUMN())),OFFSET($BN$2,0,0,ROW()-1,60),ROW()-1,FALSE))</f>
        <v/>
      </c>
      <c r="BE166" t="str">
        <f ca="1">IF(AND(ISNUMBER($BE$361),$B$185=1),$BE$361,HLOOKUP(INDIRECT(ADDRESS(2,COLUMN())),OFFSET($BN$2,0,0,ROW()-1,60),ROW()-1,FALSE))</f>
        <v/>
      </c>
      <c r="BF166" t="str">
        <f ca="1">IF(AND(ISNUMBER($BF$361),$B$185=1),$BF$361,HLOOKUP(INDIRECT(ADDRESS(2,COLUMN())),OFFSET($BN$2,0,0,ROW()-1,60),ROW()-1,FALSE))</f>
        <v/>
      </c>
      <c r="BG166" t="str">
        <f ca="1">IF(AND(ISNUMBER($BG$361),$B$185=1),$BG$361,HLOOKUP(INDIRECT(ADDRESS(2,COLUMN())),OFFSET($BN$2,0,0,ROW()-1,60),ROW()-1,FALSE))</f>
        <v/>
      </c>
      <c r="BH166" t="str">
        <f ca="1">IF(AND(ISNUMBER($BH$361),$B$185=1),$BH$361,HLOOKUP(INDIRECT(ADDRESS(2,COLUMN())),OFFSET($BN$2,0,0,ROW()-1,60),ROW()-1,FALSE))</f>
        <v/>
      </c>
      <c r="BI166" t="str">
        <f ca="1">IF(AND(ISNUMBER($BI$361),$B$185=1),$BI$361,HLOOKUP(INDIRECT(ADDRESS(2,COLUMN())),OFFSET($BN$2,0,0,ROW()-1,60),ROW()-1,FALSE))</f>
        <v/>
      </c>
      <c r="BJ166" t="str">
        <f ca="1">IF(AND(ISNUMBER($BJ$361),$B$185=1),$BJ$361,HLOOKUP(INDIRECT(ADDRESS(2,COLUMN())),OFFSET($BN$2,0,0,ROW()-1,60),ROW()-1,FALSE))</f>
        <v/>
      </c>
      <c r="BK166" t="str">
        <f ca="1">IF(AND(ISNUMBER($BK$361),$B$185=1),$BK$361,HLOOKUP(INDIRECT(ADDRESS(2,COLUMN())),OFFSET($BN$2,0,0,ROW()-1,60),ROW()-1,FALSE))</f>
        <v/>
      </c>
      <c r="BL166" t="str">
        <f ca="1">IF(AND(ISNUMBER($BL$361),$B$185=1),$BL$361,HLOOKUP(INDIRECT(ADDRESS(2,COLUMN())),OFFSET($BN$2,0,0,ROW()-1,60),ROW()-1,FALSE))</f>
        <v/>
      </c>
      <c r="BM166" t="str">
        <f ca="1">IF(AND(ISNUMBER($BM$361),$B$185=1),$BM$361,HLOOKUP(INDIRECT(ADDRESS(2,COLUMN())),OFFSET($BN$2,0,0,ROW()-1,60),ROW()-1,FALSE))</f>
        <v/>
      </c>
      <c r="BN166" t="str">
        <f>""</f>
        <v/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  <c r="BT166" t="str">
        <f>""</f>
        <v/>
      </c>
      <c r="BU166" t="str">
        <f>""</f>
        <v/>
      </c>
      <c r="BV166" t="str">
        <f>""</f>
        <v/>
      </c>
      <c r="BW166" t="str">
        <f>""</f>
        <v/>
      </c>
      <c r="BX166" t="str">
        <f>""</f>
        <v/>
      </c>
      <c r="BY166" t="str">
        <f>""</f>
        <v/>
      </c>
      <c r="BZ166" t="str">
        <f>""</f>
        <v/>
      </c>
      <c r="CA166" t="str">
        <f>""</f>
        <v/>
      </c>
      <c r="CB166" t="str">
        <f>""</f>
        <v/>
      </c>
      <c r="CC166" t="str">
        <f>""</f>
        <v/>
      </c>
      <c r="CD166" t="str">
        <f>""</f>
        <v/>
      </c>
      <c r="CE166" t="str">
        <f>""</f>
        <v/>
      </c>
      <c r="CF166" t="str">
        <f>""</f>
        <v/>
      </c>
      <c r="CG166" t="str">
        <f>""</f>
        <v/>
      </c>
      <c r="CH166" t="str">
        <f>""</f>
        <v/>
      </c>
      <c r="CI166" t="str">
        <f>""</f>
        <v/>
      </c>
      <c r="CJ166" t="str">
        <f>""</f>
        <v/>
      </c>
      <c r="CK166" t="str">
        <f>""</f>
        <v/>
      </c>
      <c r="CL166" t="str">
        <f>""</f>
        <v/>
      </c>
      <c r="CM166" t="str">
        <f>""</f>
        <v/>
      </c>
      <c r="CN166" t="str">
        <f>""</f>
        <v/>
      </c>
      <c r="CO166" t="str">
        <f>""</f>
        <v/>
      </c>
      <c r="CP166" t="str">
        <f>""</f>
        <v/>
      </c>
      <c r="CQ166" t="str">
        <f>""</f>
        <v/>
      </c>
      <c r="CR166" t="str">
        <f>""</f>
        <v/>
      </c>
      <c r="CS166" t="str">
        <f>""</f>
        <v/>
      </c>
      <c r="CT166" t="str">
        <f>""</f>
        <v/>
      </c>
      <c r="CU166" t="str">
        <f>""</f>
        <v/>
      </c>
      <c r="CV166" t="str">
        <f>""</f>
        <v/>
      </c>
      <c r="CW166" t="str">
        <f>""</f>
        <v/>
      </c>
      <c r="CX166" t="str">
        <f>""</f>
        <v/>
      </c>
      <c r="CY166" t="str">
        <f>""</f>
        <v/>
      </c>
      <c r="CZ166" t="str">
        <f>""</f>
        <v/>
      </c>
      <c r="DA166" t="str">
        <f>""</f>
        <v/>
      </c>
      <c r="DB166" t="str">
        <f>""</f>
        <v/>
      </c>
      <c r="DC166" t="str">
        <f>""</f>
        <v/>
      </c>
      <c r="DD166" t="str">
        <f>""</f>
        <v/>
      </c>
      <c r="DE166" t="str">
        <f>""</f>
        <v/>
      </c>
      <c r="DF166" t="str">
        <f>""</f>
        <v/>
      </c>
      <c r="DG166" t="str">
        <f>""</f>
        <v/>
      </c>
      <c r="DH166" t="str">
        <f>""</f>
        <v/>
      </c>
      <c r="DI166" t="str">
        <f>""</f>
        <v/>
      </c>
      <c r="DJ166" t="str">
        <f>""</f>
        <v/>
      </c>
      <c r="DK166" t="str">
        <f>""</f>
        <v/>
      </c>
      <c r="DL166" t="str">
        <f>""</f>
        <v/>
      </c>
      <c r="DM166" t="str">
        <f>""</f>
        <v/>
      </c>
      <c r="DN166" t="str">
        <f>""</f>
        <v/>
      </c>
      <c r="DO166" t="str">
        <f>""</f>
        <v/>
      </c>
      <c r="DP166" t="str">
        <f>""</f>
        <v/>
      </c>
      <c r="DQ166" t="str">
        <f>""</f>
        <v/>
      </c>
      <c r="DR166" t="str">
        <f>""</f>
        <v/>
      </c>
      <c r="DS166" t="str">
        <f>""</f>
        <v/>
      </c>
      <c r="DT166" t="str">
        <f>""</f>
        <v/>
      </c>
      <c r="DU166" t="str">
        <f>""</f>
        <v/>
      </c>
    </row>
    <row r="167" spans="1:125">
      <c r="A167" t="str">
        <f>"    Wells Fargo &amp; Co"</f>
        <v xml:space="preserve">    Wells Fargo &amp; Co</v>
      </c>
      <c r="B167" t="str">
        <f>"WFC US Equity"</f>
        <v>WFC US Equity</v>
      </c>
      <c r="C167" t="str">
        <f t="shared" si="19"/>
        <v>BS963</v>
      </c>
      <c r="D167" t="str">
        <f t="shared" si="20"/>
        <v>BS_COMML_MTG_SERVICED_OTHERS</v>
      </c>
      <c r="E167" t="str">
        <f t="shared" si="21"/>
        <v>Dynamic</v>
      </c>
      <c r="F167">
        <f ca="1">IF(AND(ISNUMBER($F$362),$B$185=1),$F$362,HLOOKUP(INDIRECT(ADDRESS(2,COLUMN())),OFFSET($BN$2,0,0,ROW()-1,60),ROW()-1,FALSE))</f>
        <v>531000</v>
      </c>
      <c r="G167">
        <f ca="1">IF(AND(ISNUMBER($G$362),$B$185=1),$G$362,HLOOKUP(INDIRECT(ADDRESS(2,COLUMN())),OFFSET($BN$2,0,0,ROW()-1,60),ROW()-1,FALSE))</f>
        <v>539000</v>
      </c>
      <c r="H167">
        <f ca="1">IF(AND(ISNUMBER($H$362),$B$185=1),$H$362,HLOOKUP(INDIRECT(ADDRESS(2,COLUMN())),OFFSET($BN$2,0,0,ROW()-1,60),ROW()-1,FALSE))</f>
        <v>543000</v>
      </c>
      <c r="I167">
        <f ca="1">IF(AND(ISNUMBER($I$362),$B$185=1),$I$362,HLOOKUP(INDIRECT(ADDRESS(2,COLUMN())),OFFSET($BN$2,0,0,ROW()-1,60),ROW()-1,FALSE))</f>
        <v>545000</v>
      </c>
      <c r="J167">
        <f ca="1">IF(AND(ISNUMBER($J$362),$B$185=1),$J$362,HLOOKUP(INDIRECT(ADDRESS(2,COLUMN())),OFFSET($BN$2,0,0,ROW()-1,60),ROW()-1,FALSE))</f>
        <v>548000</v>
      </c>
      <c r="K167">
        <f ca="1">IF(AND(ISNUMBER($K$362),$B$185=1),$K$362,HLOOKUP(INDIRECT(ADDRESS(2,COLUMN())),OFFSET($BN$2,0,0,ROW()-1,60),ROW()-1,FALSE))</f>
        <v>554000</v>
      </c>
      <c r="L167">
        <f ca="1">IF(AND(ISNUMBER($L$362),$B$185=1),$L$362,HLOOKUP(INDIRECT(ADDRESS(2,COLUMN())),OFFSET($BN$2,0,0,ROW()-1,60),ROW()-1,FALSE))</f>
        <v>562000</v>
      </c>
      <c r="M167">
        <f ca="1">IF(AND(ISNUMBER($M$362),$B$185=1),$M$362,HLOOKUP(INDIRECT(ADDRESS(2,COLUMN())),OFFSET($BN$2,0,0,ROW()-1,60),ROW()-1,FALSE))</f>
        <v>571000</v>
      </c>
      <c r="N167">
        <f ca="1">IF(AND(ISNUMBER($N$362),$B$185=1),$N$362,HLOOKUP(INDIRECT(ADDRESS(2,COLUMN())),OFFSET($BN$2,0,0,ROW()-1,60),ROW()-1,FALSE))</f>
        <v>577000</v>
      </c>
      <c r="O167">
        <f ca="1">IF(AND(ISNUMBER($O$362),$B$185=1),$O$362,HLOOKUP(INDIRECT(ADDRESS(2,COLUMN())),OFFSET($BN$2,0,0,ROW()-1,60),ROW()-1,FALSE))</f>
        <v>586000</v>
      </c>
      <c r="P167">
        <f ca="1">IF(AND(ISNUMBER($P$362),$B$185=1),$P$362,HLOOKUP(INDIRECT(ADDRESS(2,COLUMN())),OFFSET($BN$2,0,0,ROW()-1,60),ROW()-1,FALSE))</f>
        <v>595000</v>
      </c>
      <c r="Q167">
        <f ca="1">IF(AND(ISNUMBER($Q$362),$B$185=1),$Q$362,HLOOKUP(INDIRECT(ADDRESS(2,COLUMN())),OFFSET($BN$2,0,0,ROW()-1,60),ROW()-1,FALSE))</f>
        <v>598000</v>
      </c>
      <c r="R167">
        <f ca="1">IF(AND(ISNUMBER($R$362),$B$185=1),$R$362,HLOOKUP(INDIRECT(ADDRESS(2,COLUMN())),OFFSET($BN$2,0,0,ROW()-1,60),ROW()-1,FALSE))</f>
        <v>597000</v>
      </c>
      <c r="S167">
        <f ca="1">IF(AND(ISNUMBER($S$362),$B$185=1),$S$362,HLOOKUP(INDIRECT(ADDRESS(2,COLUMN())),OFFSET($BN$2,0,0,ROW()-1,60),ROW()-1,FALSE))</f>
        <v>586000</v>
      </c>
      <c r="T167">
        <f ca="1">IF(AND(ISNUMBER($T$362),$B$185=1),$T$362,HLOOKUP(INDIRECT(ADDRESS(2,COLUMN())),OFFSET($BN$2,0,0,ROW()-1,60),ROW()-1,FALSE))</f>
        <v>584000</v>
      </c>
      <c r="U167">
        <f ca="1">IF(AND(ISNUMBER($U$362),$B$185=1),$U$362,HLOOKUP(INDIRECT(ADDRESS(2,COLUMN())),OFFSET($BN$2,0,0,ROW()-1,60),ROW()-1,FALSE))</f>
        <v>581000</v>
      </c>
      <c r="V167">
        <f ca="1">IF(AND(ISNUMBER($V$362),$B$185=1),$V$362,HLOOKUP(INDIRECT(ADDRESS(2,COLUMN())),OFFSET($BN$2,0,0,ROW()-1,60),ROW()-1,FALSE))</f>
        <v>583000</v>
      </c>
      <c r="W167">
        <f ca="1">IF(AND(ISNUMBER($W$362),$B$185=1),$W$362,HLOOKUP(INDIRECT(ADDRESS(2,COLUMN())),OFFSET($BN$2,0,0,ROW()-1,60),ROW()-1,FALSE))</f>
        <v>579000</v>
      </c>
      <c r="X167">
        <f ca="1">IF(AND(ISNUMBER($X$362),$B$185=1),$X$362,HLOOKUP(INDIRECT(ADDRESS(2,COLUMN())),OFFSET($BN$2,0,0,ROW()-1,60),ROW()-1,FALSE))</f>
        <v>578000</v>
      </c>
      <c r="Y167">
        <f ca="1">IF(AND(ISNUMBER($Y$362),$B$185=1),$Y$362,HLOOKUP(INDIRECT(ADDRESS(2,COLUMN())),OFFSET($BN$2,0,0,ROW()-1,60),ROW()-1,FALSE))</f>
        <v>573000</v>
      </c>
      <c r="Z167">
        <f ca="1">IF(AND(ISNUMBER($Z$362),$B$185=1),$Z$362,HLOOKUP(INDIRECT(ADDRESS(2,COLUMN())),OFFSET($BN$2,0,0,ROW()-1,60),ROW()-1,FALSE))</f>
        <v>566000</v>
      </c>
      <c r="AA167">
        <f ca="1">IF(AND(ISNUMBER($AA$362),$B$185=1),$AA$362,HLOOKUP(INDIRECT(ADDRESS(2,COLUMN())),OFFSET($BN$2,0,0,ROW()-1,60),ROW()-1,FALSE))</f>
        <v>560000</v>
      </c>
      <c r="AB167">
        <f ca="1">IF(AND(ISNUMBER($AB$362),$B$185=1),$AB$362,HLOOKUP(INDIRECT(ADDRESS(2,COLUMN())),OFFSET($BN$2,0,0,ROW()-1,60),ROW()-1,FALSE))</f>
        <v>557000</v>
      </c>
      <c r="AC167">
        <f ca="1">IF(AND(ISNUMBER($AC$362),$B$185=1),$AC$362,HLOOKUP(INDIRECT(ADDRESS(2,COLUMN())),OFFSET($BN$2,0,0,ROW()-1,60),ROW()-1,FALSE))</f>
        <v>552000</v>
      </c>
      <c r="AD167">
        <f ca="1">IF(AND(ISNUMBER($AD$362),$B$185=1),$AD$362,HLOOKUP(INDIRECT(ADDRESS(2,COLUMN())),OFFSET($BN$2,0,0,ROW()-1,60),ROW()-1,FALSE))</f>
        <v>543</v>
      </c>
      <c r="AE167">
        <f ca="1">IF(AND(ISNUMBER($AE$362),$B$185=1),$AE$362,HLOOKUP(INDIRECT(ADDRESS(2,COLUMN())),OFFSET($BN$2,0,0,ROW()-1,60),ROW()-1,FALSE))</f>
        <v>529000</v>
      </c>
      <c r="AF167">
        <f ca="1">IF(AND(ISNUMBER($AF$362),$B$185=1),$AF$362,HLOOKUP(INDIRECT(ADDRESS(2,COLUMN())),OFFSET($BN$2,0,0,ROW()-1,60),ROW()-1,FALSE))</f>
        <v>518000</v>
      </c>
      <c r="AG167">
        <f ca="1">IF(AND(ISNUMBER($AG$362),$B$185=1),$AG$362,HLOOKUP(INDIRECT(ADDRESS(2,COLUMN())),OFFSET($BN$2,0,0,ROW()-1,60),ROW()-1,FALSE))</f>
        <v>510000</v>
      </c>
      <c r="AH167">
        <f ca="1">IF(AND(ISNUMBER($AH$362),$B$185=1),$AH$362,HLOOKUP(INDIRECT(ADDRESS(2,COLUMN())),OFFSET($BN$2,0,0,ROW()-1,60),ROW()-1,FALSE))</f>
        <v>495000</v>
      </c>
      <c r="AI167">
        <f ca="1">IF(AND(ISNUMBER($AI$362),$B$185=1),$AI$362,HLOOKUP(INDIRECT(ADDRESS(2,COLUMN())),OFFSET($BN$2,0,0,ROW()-1,60),ROW()-1,FALSE))</f>
        <v>480000</v>
      </c>
      <c r="AJ167">
        <f ca="1">IF(AND(ISNUMBER($AJ$362),$B$185=1),$AJ$362,HLOOKUP(INDIRECT(ADDRESS(2,COLUMN())),OFFSET($BN$2,0,0,ROW()-1,60),ROW()-1,FALSE))</f>
        <v>475000</v>
      </c>
      <c r="AK167">
        <f ca="1">IF(AND(ISNUMBER($AK$362),$B$185=1),$AK$362,HLOOKUP(INDIRECT(ADDRESS(2,COLUMN())),OFFSET($BN$2,0,0,ROW()-1,60),ROW()-1,FALSE))</f>
        <v>474000</v>
      </c>
      <c r="AL167">
        <f ca="1">IF(AND(ISNUMBER($AL$362),$B$185=1),$AL$362,HLOOKUP(INDIRECT(ADDRESS(2,COLUMN())),OFFSET($BN$2,0,0,ROW()-1,60),ROW()-1,FALSE))</f>
        <v>479000</v>
      </c>
      <c r="AM167">
        <f ca="1">IF(AND(ISNUMBER($AM$362),$B$185=1),$AM$362,HLOOKUP(INDIRECT(ADDRESS(2,COLUMN())),OFFSET($BN$2,0,0,ROW()-1,60),ROW()-1,FALSE))</f>
        <v>477000</v>
      </c>
      <c r="AN167">
        <f ca="1">IF(AND(ISNUMBER($AN$362),$B$185=1),$AN$362,HLOOKUP(INDIRECT(ADDRESS(2,COLUMN())),OFFSET($BN$2,0,0,ROW()-1,60),ROW()-1,FALSE))</f>
        <v>478000</v>
      </c>
      <c r="AO167">
        <f ca="1">IF(AND(ISNUMBER($AO$362),$B$185=1),$AO$362,HLOOKUP(INDIRECT(ADDRESS(2,COLUMN())),OFFSET($BN$2,0,0,ROW()-1,60),ROW()-1,FALSE))</f>
        <v>485000</v>
      </c>
      <c r="AP167">
        <f ca="1">IF(AND(ISNUMBER($AP$362),$B$185=1),$AP$362,HLOOKUP(INDIRECT(ADDRESS(2,COLUMN())),OFFSET($BN$2,0,0,ROW()-1,60),ROW()-1,FALSE))</f>
        <v>478000</v>
      </c>
      <c r="AQ167">
        <f ca="1">IF(AND(ISNUMBER($AQ$362),$B$185=1),$AQ$362,HLOOKUP(INDIRECT(ADDRESS(2,COLUMN())),OFFSET($BN$2,0,0,ROW()-1,60),ROW()-1,FALSE))</f>
        <v>470000</v>
      </c>
      <c r="AR167">
        <f ca="1">IF(AND(ISNUMBER($AR$362),$B$185=1),$AR$362,HLOOKUP(INDIRECT(ADDRESS(2,COLUMN())),OFFSET($BN$2,0,0,ROW()-1,60),ROW()-1,FALSE))</f>
        <v>465000</v>
      </c>
      <c r="AS167">
        <f ca="1">IF(AND(ISNUMBER($AS$362),$B$185=1),$AS$362,HLOOKUP(INDIRECT(ADDRESS(2,COLUMN())),OFFSET($BN$2,0,0,ROW()-1,60),ROW()-1,FALSE))</f>
        <v>461000</v>
      </c>
      <c r="AT167">
        <f ca="1">IF(AND(ISNUMBER($AT$362),$B$185=1),$AT$362,HLOOKUP(INDIRECT(ADDRESS(2,COLUMN())),OFFSET($BN$2,0,0,ROW()-1,60),ROW()-1,FALSE))</f>
        <v>456000</v>
      </c>
      <c r="AU167">
        <f ca="1">IF(AND(ISNUMBER($AU$362),$B$185=1),$AU$362,HLOOKUP(INDIRECT(ADDRESS(2,COLUMN())),OFFSET($BN$2,0,0,ROW()-1,60),ROW()-1,FALSE))</f>
        <v>440000</v>
      </c>
      <c r="AV167">
        <f ca="1">IF(AND(ISNUMBER($AV$362),$B$185=1),$AV$362,HLOOKUP(INDIRECT(ADDRESS(2,COLUMN())),OFFSET($BN$2,0,0,ROW()-1,60),ROW()-1,FALSE))</f>
        <v>429000</v>
      </c>
      <c r="AW167">
        <f ca="1">IF(AND(ISNUMBER($AW$362),$B$185=1),$AW$362,HLOOKUP(INDIRECT(ADDRESS(2,COLUMN())),OFFSET($BN$2,0,0,ROW()-1,60),ROW()-1,FALSE))</f>
        <v>424000</v>
      </c>
      <c r="AX167">
        <f ca="1">IF(AND(ISNUMBER($AX$362),$B$185=1),$AX$362,HLOOKUP(INDIRECT(ADDRESS(2,COLUMN())),OFFSET($BN$2,0,0,ROW()-1,60),ROW()-1,FALSE))</f>
        <v>419000</v>
      </c>
      <c r="AY167">
        <f ca="1">IF(AND(ISNUMBER($AY$362),$B$185=1),$AY$362,HLOOKUP(INDIRECT(ADDRESS(2,COLUMN())),OFFSET($BN$2,0,0,ROW()-1,60),ROW()-1,FALSE))</f>
        <v>416000</v>
      </c>
      <c r="AZ167">
        <f ca="1">IF(AND(ISNUMBER($AZ$362),$B$185=1),$AZ$362,HLOOKUP(INDIRECT(ADDRESS(2,COLUMN())),OFFSET($BN$2,0,0,ROW()-1,60),ROW()-1,FALSE))</f>
        <v>409000</v>
      </c>
      <c r="BA167">
        <f ca="1">IF(AND(ISNUMBER($BA$362),$B$185=1),$BA$362,HLOOKUP(INDIRECT(ADDRESS(2,COLUMN())),OFFSET($BN$2,0,0,ROW()-1,60),ROW()-1,FALSE))</f>
        <v>404000</v>
      </c>
      <c r="BB167">
        <f ca="1">IF(AND(ISNUMBER($BB$362),$B$185=1),$BB$362,HLOOKUP(INDIRECT(ADDRESS(2,COLUMN())),OFFSET($BN$2,0,0,ROW()-1,60),ROW()-1,FALSE))</f>
        <v>408000</v>
      </c>
      <c r="BC167">
        <f ca="1">IF(AND(ISNUMBER($BC$362),$B$185=1),$BC$362,HLOOKUP(INDIRECT(ADDRESS(2,COLUMN())),OFFSET($BN$2,0,0,ROW()-1,60),ROW()-1,FALSE))</f>
        <v>405000</v>
      </c>
      <c r="BD167">
        <f ca="1">IF(AND(ISNUMBER($BD$362),$B$185=1),$BD$362,HLOOKUP(INDIRECT(ADDRESS(2,COLUMN())),OFFSET($BN$2,0,0,ROW()-1,60),ROW()-1,FALSE))</f>
        <v>406000</v>
      </c>
      <c r="BE167">
        <f ca="1">IF(AND(ISNUMBER($BE$362),$B$185=1),$BE$362,HLOOKUP(INDIRECT(ADDRESS(2,COLUMN())),OFFSET($BN$2,0,0,ROW()-1,60),ROW()-1,FALSE))</f>
        <v>407000</v>
      </c>
      <c r="BF167">
        <f ca="1">IF(AND(ISNUMBER($BF$362),$B$185=1),$BF$362,HLOOKUP(INDIRECT(ADDRESS(2,COLUMN())),OFFSET($BN$2,0,0,ROW()-1,60),ROW()-1,FALSE))</f>
        <v>398000</v>
      </c>
      <c r="BG167">
        <f ca="1">IF(AND(ISNUMBER($BG$362),$B$185=1),$BG$362,HLOOKUP(INDIRECT(ADDRESS(2,COLUMN())),OFFSET($BN$2,0,0,ROW()-1,60),ROW()-1,FALSE))</f>
        <v>401000</v>
      </c>
      <c r="BH167">
        <f ca="1">IF(AND(ISNUMBER($BH$362),$B$185=1),$BH$362,HLOOKUP(INDIRECT(ADDRESS(2,COLUMN())),OFFSET($BN$2,0,0,ROW()-1,60),ROW()-1,FALSE))</f>
        <v>402000</v>
      </c>
      <c r="BI167">
        <f ca="1">IF(AND(ISNUMBER($BI$362),$B$185=1),$BI$362,HLOOKUP(INDIRECT(ADDRESS(2,COLUMN())),OFFSET($BN$2,0,0,ROW()-1,60),ROW()-1,FALSE))</f>
        <v>406000</v>
      </c>
      <c r="BJ167">
        <f ca="1">IF(AND(ISNUMBER($BJ$362),$B$185=1),$BJ$362,HLOOKUP(INDIRECT(ADDRESS(2,COLUMN())),OFFSET($BN$2,0,0,ROW()-1,60),ROW()-1,FALSE))</f>
        <v>408000</v>
      </c>
      <c r="BK167">
        <f ca="1">IF(AND(ISNUMBER($BK$362),$B$185=1),$BK$362,HLOOKUP(INDIRECT(ADDRESS(2,COLUMN())),OFFSET($BN$2,0,0,ROW()-1,60),ROW()-1,FALSE))</f>
        <v>439000</v>
      </c>
      <c r="BL167">
        <f ca="1">IF(AND(ISNUMBER($BL$362),$B$185=1),$BL$362,HLOOKUP(INDIRECT(ADDRESS(2,COLUMN())),OFFSET($BN$2,0,0,ROW()-1,60),ROW()-1,FALSE))</f>
        <v>441000</v>
      </c>
      <c r="BM167" t="str">
        <f ca="1">IF(AND(ISNUMBER($BM$362),$B$185=1),$BM$362,HLOOKUP(INDIRECT(ADDRESS(2,COLUMN())),OFFSET($BN$2,0,0,ROW()-1,60),ROW()-1,FALSE))</f>
        <v/>
      </c>
      <c r="BN167">
        <f>531000</f>
        <v>531000</v>
      </c>
      <c r="BO167">
        <f>539000</f>
        <v>539000</v>
      </c>
      <c r="BP167">
        <f>543000</f>
        <v>543000</v>
      </c>
      <c r="BQ167">
        <f>545000</f>
        <v>545000</v>
      </c>
      <c r="BR167">
        <f>548000</f>
        <v>548000</v>
      </c>
      <c r="BS167">
        <f>554000</f>
        <v>554000</v>
      </c>
      <c r="BT167">
        <f>562000</f>
        <v>562000</v>
      </c>
      <c r="BU167">
        <f>571000</f>
        <v>571000</v>
      </c>
      <c r="BV167">
        <f>577000</f>
        <v>577000</v>
      </c>
      <c r="BW167">
        <f>586000</f>
        <v>586000</v>
      </c>
      <c r="BX167">
        <f>595000</f>
        <v>595000</v>
      </c>
      <c r="BY167">
        <f>598000</f>
        <v>598000</v>
      </c>
      <c r="BZ167">
        <f>597000</f>
        <v>597000</v>
      </c>
      <c r="CA167">
        <f>586000</f>
        <v>586000</v>
      </c>
      <c r="CB167">
        <f>584000</f>
        <v>584000</v>
      </c>
      <c r="CC167">
        <f>581000</f>
        <v>581000</v>
      </c>
      <c r="CD167">
        <f>583000</f>
        <v>583000</v>
      </c>
      <c r="CE167">
        <f>579000</f>
        <v>579000</v>
      </c>
      <c r="CF167">
        <f>578000</f>
        <v>578000</v>
      </c>
      <c r="CG167">
        <f>573000</f>
        <v>573000</v>
      </c>
      <c r="CH167">
        <f>566000</f>
        <v>566000</v>
      </c>
      <c r="CI167">
        <f>560000</f>
        <v>560000</v>
      </c>
      <c r="CJ167">
        <f>557000</f>
        <v>557000</v>
      </c>
      <c r="CK167">
        <f>552000</f>
        <v>552000</v>
      </c>
      <c r="CL167">
        <f>543</f>
        <v>543</v>
      </c>
      <c r="CM167">
        <f>529000</f>
        <v>529000</v>
      </c>
      <c r="CN167">
        <f>518000</f>
        <v>518000</v>
      </c>
      <c r="CO167">
        <f>510000</f>
        <v>510000</v>
      </c>
      <c r="CP167">
        <f>495000</f>
        <v>495000</v>
      </c>
      <c r="CQ167">
        <f>480000</f>
        <v>480000</v>
      </c>
      <c r="CR167">
        <f>475000</f>
        <v>475000</v>
      </c>
      <c r="CS167">
        <f>474000</f>
        <v>474000</v>
      </c>
      <c r="CT167">
        <f>479000</f>
        <v>479000</v>
      </c>
      <c r="CU167">
        <f>477000</f>
        <v>477000</v>
      </c>
      <c r="CV167">
        <f>478000</f>
        <v>478000</v>
      </c>
      <c r="CW167">
        <f>485000</f>
        <v>485000</v>
      </c>
      <c r="CX167">
        <f>478000</f>
        <v>478000</v>
      </c>
      <c r="CY167">
        <f>470000</f>
        <v>470000</v>
      </c>
      <c r="CZ167">
        <f>465000</f>
        <v>465000</v>
      </c>
      <c r="DA167">
        <f>461000</f>
        <v>461000</v>
      </c>
      <c r="DB167">
        <f>456000</f>
        <v>456000</v>
      </c>
      <c r="DC167">
        <f>440000</f>
        <v>440000</v>
      </c>
      <c r="DD167">
        <f>429000</f>
        <v>429000</v>
      </c>
      <c r="DE167">
        <f>424000</f>
        <v>424000</v>
      </c>
      <c r="DF167">
        <f>419000</f>
        <v>419000</v>
      </c>
      <c r="DG167">
        <f>416000</f>
        <v>416000</v>
      </c>
      <c r="DH167">
        <f>409000</f>
        <v>409000</v>
      </c>
      <c r="DI167">
        <f>404000</f>
        <v>404000</v>
      </c>
      <c r="DJ167">
        <f>408000</f>
        <v>408000</v>
      </c>
      <c r="DK167">
        <f>405000</f>
        <v>405000</v>
      </c>
      <c r="DL167">
        <f>406000</f>
        <v>406000</v>
      </c>
      <c r="DM167">
        <f>407000</f>
        <v>407000</v>
      </c>
      <c r="DN167">
        <f>398000</f>
        <v>398000</v>
      </c>
      <c r="DO167">
        <f>401000</f>
        <v>401000</v>
      </c>
      <c r="DP167">
        <f>402000</f>
        <v>402000</v>
      </c>
      <c r="DQ167">
        <f>406000</f>
        <v>406000</v>
      </c>
      <c r="DR167">
        <f>408000</f>
        <v>408000</v>
      </c>
      <c r="DS167">
        <f>439000</f>
        <v>439000</v>
      </c>
      <c r="DT167">
        <f>441000</f>
        <v>441000</v>
      </c>
      <c r="DU167" t="str">
        <f>""</f>
        <v/>
      </c>
    </row>
    <row r="168" spans="1:125">
      <c r="A168" t="str">
        <f>"    Western Alliance Bancorp"</f>
        <v xml:space="preserve">    Western Alliance Bancorp</v>
      </c>
      <c r="B168" t="str">
        <f>"WAL US Equity"</f>
        <v>WAL US Equity</v>
      </c>
      <c r="C168" t="str">
        <f t="shared" si="19"/>
        <v>BS963</v>
      </c>
      <c r="D168" t="str">
        <f t="shared" si="20"/>
        <v>BS_COMML_MTG_SERVICED_OTHERS</v>
      </c>
      <c r="E168" t="str">
        <f t="shared" si="21"/>
        <v>Dynamic</v>
      </c>
      <c r="F168" t="str">
        <f ca="1">IF(AND(ISNUMBER($F$363),$B$185=1),$F$363,HLOOKUP(INDIRECT(ADDRESS(2,COLUMN())),OFFSET($BN$2,0,0,ROW()-1,60),ROW()-1,FALSE))</f>
        <v/>
      </c>
      <c r="G168" t="str">
        <f ca="1">IF(AND(ISNUMBER($G$363),$B$185=1),$G$363,HLOOKUP(INDIRECT(ADDRESS(2,COLUMN())),OFFSET($BN$2,0,0,ROW()-1,60),ROW()-1,FALSE))</f>
        <v/>
      </c>
      <c r="H168" t="str">
        <f ca="1">IF(AND(ISNUMBER($H$363),$B$185=1),$H$363,HLOOKUP(INDIRECT(ADDRESS(2,COLUMN())),OFFSET($BN$2,0,0,ROW()-1,60),ROW()-1,FALSE))</f>
        <v/>
      </c>
      <c r="I168" t="str">
        <f ca="1">IF(AND(ISNUMBER($I$363),$B$185=1),$I$363,HLOOKUP(INDIRECT(ADDRESS(2,COLUMN())),OFFSET($BN$2,0,0,ROW()-1,60),ROW()-1,FALSE))</f>
        <v/>
      </c>
      <c r="J168" t="str">
        <f ca="1">IF(AND(ISNUMBER($J$363),$B$185=1),$J$363,HLOOKUP(INDIRECT(ADDRESS(2,COLUMN())),OFFSET($BN$2,0,0,ROW()-1,60),ROW()-1,FALSE))</f>
        <v/>
      </c>
      <c r="K168" t="str">
        <f ca="1">IF(AND(ISNUMBER($K$363),$B$185=1),$K$363,HLOOKUP(INDIRECT(ADDRESS(2,COLUMN())),OFFSET($BN$2,0,0,ROW()-1,60),ROW()-1,FALSE))</f>
        <v/>
      </c>
      <c r="L168" t="str">
        <f ca="1">IF(AND(ISNUMBER($L$363),$B$185=1),$L$363,HLOOKUP(INDIRECT(ADDRESS(2,COLUMN())),OFFSET($BN$2,0,0,ROW()-1,60),ROW()-1,FALSE))</f>
        <v/>
      </c>
      <c r="M168" t="str">
        <f ca="1">IF(AND(ISNUMBER($M$363),$B$185=1),$M$363,HLOOKUP(INDIRECT(ADDRESS(2,COLUMN())),OFFSET($BN$2,0,0,ROW()-1,60),ROW()-1,FALSE))</f>
        <v/>
      </c>
      <c r="N168" t="str">
        <f ca="1">IF(AND(ISNUMBER($N$363),$B$185=1),$N$363,HLOOKUP(INDIRECT(ADDRESS(2,COLUMN())),OFFSET($BN$2,0,0,ROW()-1,60),ROW()-1,FALSE))</f>
        <v/>
      </c>
      <c r="O168" t="str">
        <f ca="1">IF(AND(ISNUMBER($O$363),$B$185=1),$O$363,HLOOKUP(INDIRECT(ADDRESS(2,COLUMN())),OFFSET($BN$2,0,0,ROW()-1,60),ROW()-1,FALSE))</f>
        <v/>
      </c>
      <c r="P168" t="str">
        <f ca="1">IF(AND(ISNUMBER($P$363),$B$185=1),$P$363,HLOOKUP(INDIRECT(ADDRESS(2,COLUMN())),OFFSET($BN$2,0,0,ROW()-1,60),ROW()-1,FALSE))</f>
        <v/>
      </c>
      <c r="Q168" t="str">
        <f ca="1">IF(AND(ISNUMBER($Q$363),$B$185=1),$Q$363,HLOOKUP(INDIRECT(ADDRESS(2,COLUMN())),OFFSET($BN$2,0,0,ROW()-1,60),ROW()-1,FALSE))</f>
        <v/>
      </c>
      <c r="R168" t="str">
        <f ca="1">IF(AND(ISNUMBER($R$363),$B$185=1),$R$363,HLOOKUP(INDIRECT(ADDRESS(2,COLUMN())),OFFSET($BN$2,0,0,ROW()-1,60),ROW()-1,FALSE))</f>
        <v/>
      </c>
      <c r="S168" t="str">
        <f ca="1">IF(AND(ISNUMBER($S$363),$B$185=1),$S$363,HLOOKUP(INDIRECT(ADDRESS(2,COLUMN())),OFFSET($BN$2,0,0,ROW()-1,60),ROW()-1,FALSE))</f>
        <v/>
      </c>
      <c r="T168" t="str">
        <f ca="1">IF(AND(ISNUMBER($T$363),$B$185=1),$T$363,HLOOKUP(INDIRECT(ADDRESS(2,COLUMN())),OFFSET($BN$2,0,0,ROW()-1,60),ROW()-1,FALSE))</f>
        <v/>
      </c>
      <c r="U168" t="str">
        <f ca="1">IF(AND(ISNUMBER($U$363),$B$185=1),$U$363,HLOOKUP(INDIRECT(ADDRESS(2,COLUMN())),OFFSET($BN$2,0,0,ROW()-1,60),ROW()-1,FALSE))</f>
        <v/>
      </c>
      <c r="V168" t="str">
        <f ca="1">IF(AND(ISNUMBER($V$363),$B$185=1),$V$363,HLOOKUP(INDIRECT(ADDRESS(2,COLUMN())),OFFSET($BN$2,0,0,ROW()-1,60),ROW()-1,FALSE))</f>
        <v/>
      </c>
      <c r="W168" t="str">
        <f ca="1">IF(AND(ISNUMBER($W$363),$B$185=1),$W$363,HLOOKUP(INDIRECT(ADDRESS(2,COLUMN())),OFFSET($BN$2,0,0,ROW()-1,60),ROW()-1,FALSE))</f>
        <v/>
      </c>
      <c r="X168" t="str">
        <f ca="1">IF(AND(ISNUMBER($X$363),$B$185=1),$X$363,HLOOKUP(INDIRECT(ADDRESS(2,COLUMN())),OFFSET($BN$2,0,0,ROW()-1,60),ROW()-1,FALSE))</f>
        <v/>
      </c>
      <c r="Y168" t="str">
        <f ca="1">IF(AND(ISNUMBER($Y$363),$B$185=1),$Y$363,HLOOKUP(INDIRECT(ADDRESS(2,COLUMN())),OFFSET($BN$2,0,0,ROW()-1,60),ROW()-1,FALSE))</f>
        <v/>
      </c>
      <c r="Z168" t="str">
        <f ca="1">IF(AND(ISNUMBER($Z$363),$B$185=1),$Z$363,HLOOKUP(INDIRECT(ADDRESS(2,COLUMN())),OFFSET($BN$2,0,0,ROW()-1,60),ROW()-1,FALSE))</f>
        <v/>
      </c>
      <c r="AA168" t="str">
        <f ca="1">IF(AND(ISNUMBER($AA$363),$B$185=1),$AA$363,HLOOKUP(INDIRECT(ADDRESS(2,COLUMN())),OFFSET($BN$2,0,0,ROW()-1,60),ROW()-1,FALSE))</f>
        <v/>
      </c>
      <c r="AB168" t="str">
        <f ca="1">IF(AND(ISNUMBER($AB$363),$B$185=1),$AB$363,HLOOKUP(INDIRECT(ADDRESS(2,COLUMN())),OFFSET($BN$2,0,0,ROW()-1,60),ROW()-1,FALSE))</f>
        <v/>
      </c>
      <c r="AC168" t="str">
        <f ca="1">IF(AND(ISNUMBER($AC$363),$B$185=1),$AC$363,HLOOKUP(INDIRECT(ADDRESS(2,COLUMN())),OFFSET($BN$2,0,0,ROW()-1,60),ROW()-1,FALSE))</f>
        <v/>
      </c>
      <c r="AD168" t="str">
        <f ca="1">IF(AND(ISNUMBER($AD$363),$B$185=1),$AD$363,HLOOKUP(INDIRECT(ADDRESS(2,COLUMN())),OFFSET($BN$2,0,0,ROW()-1,60),ROW()-1,FALSE))</f>
        <v/>
      </c>
      <c r="AE168" t="str">
        <f ca="1">IF(AND(ISNUMBER($AE$363),$B$185=1),$AE$363,HLOOKUP(INDIRECT(ADDRESS(2,COLUMN())),OFFSET($BN$2,0,0,ROW()-1,60),ROW()-1,FALSE))</f>
        <v/>
      </c>
      <c r="AF168" t="str">
        <f ca="1">IF(AND(ISNUMBER($AF$363),$B$185=1),$AF$363,HLOOKUP(INDIRECT(ADDRESS(2,COLUMN())),OFFSET($BN$2,0,0,ROW()-1,60),ROW()-1,FALSE))</f>
        <v/>
      </c>
      <c r="AG168" t="str">
        <f ca="1">IF(AND(ISNUMBER($AG$363),$B$185=1),$AG$363,HLOOKUP(INDIRECT(ADDRESS(2,COLUMN())),OFFSET($BN$2,0,0,ROW()-1,60),ROW()-1,FALSE))</f>
        <v/>
      </c>
      <c r="AH168" t="str">
        <f ca="1">IF(AND(ISNUMBER($AH$363),$B$185=1),$AH$363,HLOOKUP(INDIRECT(ADDRESS(2,COLUMN())),OFFSET($BN$2,0,0,ROW()-1,60),ROW()-1,FALSE))</f>
        <v/>
      </c>
      <c r="AI168" t="str">
        <f ca="1">IF(AND(ISNUMBER($AI$363),$B$185=1),$AI$363,HLOOKUP(INDIRECT(ADDRESS(2,COLUMN())),OFFSET($BN$2,0,0,ROW()-1,60),ROW()-1,FALSE))</f>
        <v/>
      </c>
      <c r="AJ168" t="str">
        <f ca="1">IF(AND(ISNUMBER($AJ$363),$B$185=1),$AJ$363,HLOOKUP(INDIRECT(ADDRESS(2,COLUMN())),OFFSET($BN$2,0,0,ROW()-1,60),ROW()-1,FALSE))</f>
        <v/>
      </c>
      <c r="AK168" t="str">
        <f ca="1">IF(AND(ISNUMBER($AK$363),$B$185=1),$AK$363,HLOOKUP(INDIRECT(ADDRESS(2,COLUMN())),OFFSET($BN$2,0,0,ROW()-1,60),ROW()-1,FALSE))</f>
        <v/>
      </c>
      <c r="AL168" t="str">
        <f ca="1">IF(AND(ISNUMBER($AL$363),$B$185=1),$AL$363,HLOOKUP(INDIRECT(ADDRESS(2,COLUMN())),OFFSET($BN$2,0,0,ROW()-1,60),ROW()-1,FALSE))</f>
        <v/>
      </c>
      <c r="AM168" t="str">
        <f ca="1">IF(AND(ISNUMBER($AM$363),$B$185=1),$AM$363,HLOOKUP(INDIRECT(ADDRESS(2,COLUMN())),OFFSET($BN$2,0,0,ROW()-1,60),ROW()-1,FALSE))</f>
        <v/>
      </c>
      <c r="AN168" t="str">
        <f ca="1">IF(AND(ISNUMBER($AN$363),$B$185=1),$AN$363,HLOOKUP(INDIRECT(ADDRESS(2,COLUMN())),OFFSET($BN$2,0,0,ROW()-1,60),ROW()-1,FALSE))</f>
        <v/>
      </c>
      <c r="AO168" t="str">
        <f ca="1">IF(AND(ISNUMBER($AO$363),$B$185=1),$AO$363,HLOOKUP(INDIRECT(ADDRESS(2,COLUMN())),OFFSET($BN$2,0,0,ROW()-1,60),ROW()-1,FALSE))</f>
        <v/>
      </c>
      <c r="AP168" t="str">
        <f ca="1">IF(AND(ISNUMBER($AP$363),$B$185=1),$AP$363,HLOOKUP(INDIRECT(ADDRESS(2,COLUMN())),OFFSET($BN$2,0,0,ROW()-1,60),ROW()-1,FALSE))</f>
        <v/>
      </c>
      <c r="AQ168" t="str">
        <f ca="1">IF(AND(ISNUMBER($AQ$363),$B$185=1),$AQ$363,HLOOKUP(INDIRECT(ADDRESS(2,COLUMN())),OFFSET($BN$2,0,0,ROW()-1,60),ROW()-1,FALSE))</f>
        <v/>
      </c>
      <c r="AR168" t="str">
        <f ca="1">IF(AND(ISNUMBER($AR$363),$B$185=1),$AR$363,HLOOKUP(INDIRECT(ADDRESS(2,COLUMN())),OFFSET($BN$2,0,0,ROW()-1,60),ROW()-1,FALSE))</f>
        <v/>
      </c>
      <c r="AS168" t="str">
        <f ca="1">IF(AND(ISNUMBER($AS$363),$B$185=1),$AS$363,HLOOKUP(INDIRECT(ADDRESS(2,COLUMN())),OFFSET($BN$2,0,0,ROW()-1,60),ROW()-1,FALSE))</f>
        <v/>
      </c>
      <c r="AT168" t="str">
        <f ca="1">IF(AND(ISNUMBER($AT$363),$B$185=1),$AT$363,HLOOKUP(INDIRECT(ADDRESS(2,COLUMN())),OFFSET($BN$2,0,0,ROW()-1,60),ROW()-1,FALSE))</f>
        <v/>
      </c>
      <c r="AU168" t="str">
        <f ca="1">IF(AND(ISNUMBER($AU$363),$B$185=1),$AU$363,HLOOKUP(INDIRECT(ADDRESS(2,COLUMN())),OFFSET($BN$2,0,0,ROW()-1,60),ROW()-1,FALSE))</f>
        <v/>
      </c>
      <c r="AV168" t="str">
        <f ca="1">IF(AND(ISNUMBER($AV$363),$B$185=1),$AV$363,HLOOKUP(INDIRECT(ADDRESS(2,COLUMN())),OFFSET($BN$2,0,0,ROW()-1,60),ROW()-1,FALSE))</f>
        <v/>
      </c>
      <c r="AW168" t="str">
        <f ca="1">IF(AND(ISNUMBER($AW$363),$B$185=1),$AW$363,HLOOKUP(INDIRECT(ADDRESS(2,COLUMN())),OFFSET($BN$2,0,0,ROW()-1,60),ROW()-1,FALSE))</f>
        <v/>
      </c>
      <c r="AX168" t="str">
        <f ca="1">IF(AND(ISNUMBER($AX$363),$B$185=1),$AX$363,HLOOKUP(INDIRECT(ADDRESS(2,COLUMN())),OFFSET($BN$2,0,0,ROW()-1,60),ROW()-1,FALSE))</f>
        <v/>
      </c>
      <c r="AY168" t="str">
        <f ca="1">IF(AND(ISNUMBER($AY$363),$B$185=1),$AY$363,HLOOKUP(INDIRECT(ADDRESS(2,COLUMN())),OFFSET($BN$2,0,0,ROW()-1,60),ROW()-1,FALSE))</f>
        <v/>
      </c>
      <c r="AZ168" t="str">
        <f ca="1">IF(AND(ISNUMBER($AZ$363),$B$185=1),$AZ$363,HLOOKUP(INDIRECT(ADDRESS(2,COLUMN())),OFFSET($BN$2,0,0,ROW()-1,60),ROW()-1,FALSE))</f>
        <v/>
      </c>
      <c r="BA168" t="str">
        <f ca="1">IF(AND(ISNUMBER($BA$363),$B$185=1),$BA$363,HLOOKUP(INDIRECT(ADDRESS(2,COLUMN())),OFFSET($BN$2,0,0,ROW()-1,60),ROW()-1,FALSE))</f>
        <v/>
      </c>
      <c r="BB168" t="str">
        <f ca="1">IF(AND(ISNUMBER($BB$363),$B$185=1),$BB$363,HLOOKUP(INDIRECT(ADDRESS(2,COLUMN())),OFFSET($BN$2,0,0,ROW()-1,60),ROW()-1,FALSE))</f>
        <v/>
      </c>
      <c r="BC168" t="str">
        <f ca="1">IF(AND(ISNUMBER($BC$363),$B$185=1),$BC$363,HLOOKUP(INDIRECT(ADDRESS(2,COLUMN())),OFFSET($BN$2,0,0,ROW()-1,60),ROW()-1,FALSE))</f>
        <v/>
      </c>
      <c r="BD168" t="str">
        <f ca="1">IF(AND(ISNUMBER($BD$363),$B$185=1),$BD$363,HLOOKUP(INDIRECT(ADDRESS(2,COLUMN())),OFFSET($BN$2,0,0,ROW()-1,60),ROW()-1,FALSE))</f>
        <v/>
      </c>
      <c r="BE168" t="str">
        <f ca="1">IF(AND(ISNUMBER($BE$363),$B$185=1),$BE$363,HLOOKUP(INDIRECT(ADDRESS(2,COLUMN())),OFFSET($BN$2,0,0,ROW()-1,60),ROW()-1,FALSE))</f>
        <v/>
      </c>
      <c r="BF168" t="str">
        <f ca="1">IF(AND(ISNUMBER($BF$363),$B$185=1),$BF$363,HLOOKUP(INDIRECT(ADDRESS(2,COLUMN())),OFFSET($BN$2,0,0,ROW()-1,60),ROW()-1,FALSE))</f>
        <v/>
      </c>
      <c r="BG168" t="str">
        <f ca="1">IF(AND(ISNUMBER($BG$363),$B$185=1),$BG$363,HLOOKUP(INDIRECT(ADDRESS(2,COLUMN())),OFFSET($BN$2,0,0,ROW()-1,60),ROW()-1,FALSE))</f>
        <v/>
      </c>
      <c r="BH168" t="str">
        <f ca="1">IF(AND(ISNUMBER($BH$363),$B$185=1),$BH$363,HLOOKUP(INDIRECT(ADDRESS(2,COLUMN())),OFFSET($BN$2,0,0,ROW()-1,60),ROW()-1,FALSE))</f>
        <v/>
      </c>
      <c r="BI168" t="str">
        <f ca="1">IF(AND(ISNUMBER($BI$363),$B$185=1),$BI$363,HLOOKUP(INDIRECT(ADDRESS(2,COLUMN())),OFFSET($BN$2,0,0,ROW()-1,60),ROW()-1,FALSE))</f>
        <v/>
      </c>
      <c r="BJ168" t="str">
        <f ca="1">IF(AND(ISNUMBER($BJ$363),$B$185=1),$BJ$363,HLOOKUP(INDIRECT(ADDRESS(2,COLUMN())),OFFSET($BN$2,0,0,ROW()-1,60),ROW()-1,FALSE))</f>
        <v/>
      </c>
      <c r="BK168" t="str">
        <f ca="1">IF(AND(ISNUMBER($BK$363),$B$185=1),$BK$363,HLOOKUP(INDIRECT(ADDRESS(2,COLUMN())),OFFSET($BN$2,0,0,ROW()-1,60),ROW()-1,FALSE))</f>
        <v/>
      </c>
      <c r="BL168" t="str">
        <f ca="1">IF(AND(ISNUMBER($BL$363),$B$185=1),$BL$363,HLOOKUP(INDIRECT(ADDRESS(2,COLUMN())),OFFSET($BN$2,0,0,ROW()-1,60),ROW()-1,FALSE))</f>
        <v/>
      </c>
      <c r="BM168" t="str">
        <f ca="1">IF(AND(ISNUMBER($BM$363),$B$185=1),$BM$363,HLOOKUP(INDIRECT(ADDRESS(2,COLUMN())),OFFSET($BN$2,0,0,ROW()-1,60),ROW()-1,FALSE))</f>
        <v/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>
      <c r="A169" t="str">
        <f>"    Zions Bancorp NA"</f>
        <v xml:space="preserve">    Zions Bancorp NA</v>
      </c>
      <c r="B169" t="str">
        <f>"ZION US Equity"</f>
        <v>ZION US Equity</v>
      </c>
      <c r="C169" t="str">
        <f t="shared" si="19"/>
        <v>BS963</v>
      </c>
      <c r="D169" t="str">
        <f t="shared" si="20"/>
        <v>BS_COMML_MTG_SERVICED_OTHERS</v>
      </c>
      <c r="E169" t="str">
        <f t="shared" si="21"/>
        <v>Dynamic</v>
      </c>
      <c r="F169" t="str">
        <f ca="1">IF(AND(ISNUMBER($F$364),$B$185=1),$F$364,HLOOKUP(INDIRECT(ADDRESS(2,COLUMN())),OFFSET($BN$2,0,0,ROW()-1,60),ROW()-1,FALSE))</f>
        <v/>
      </c>
      <c r="G169" t="str">
        <f ca="1">IF(AND(ISNUMBER($G$364),$B$185=1),$G$364,HLOOKUP(INDIRECT(ADDRESS(2,COLUMN())),OFFSET($BN$2,0,0,ROW()-1,60),ROW()-1,FALSE))</f>
        <v/>
      </c>
      <c r="H169" t="str">
        <f ca="1">IF(AND(ISNUMBER($H$364),$B$185=1),$H$364,HLOOKUP(INDIRECT(ADDRESS(2,COLUMN())),OFFSET($BN$2,0,0,ROW()-1,60),ROW()-1,FALSE))</f>
        <v/>
      </c>
      <c r="I169" t="str">
        <f ca="1">IF(AND(ISNUMBER($I$364),$B$185=1),$I$364,HLOOKUP(INDIRECT(ADDRESS(2,COLUMN())),OFFSET($BN$2,0,0,ROW()-1,60),ROW()-1,FALSE))</f>
        <v/>
      </c>
      <c r="J169" t="str">
        <f ca="1">IF(AND(ISNUMBER($J$364),$B$185=1),$J$364,HLOOKUP(INDIRECT(ADDRESS(2,COLUMN())),OFFSET($BN$2,0,0,ROW()-1,60),ROW()-1,FALSE))</f>
        <v/>
      </c>
      <c r="K169" t="str">
        <f ca="1">IF(AND(ISNUMBER($K$364),$B$185=1),$K$364,HLOOKUP(INDIRECT(ADDRESS(2,COLUMN())),OFFSET($BN$2,0,0,ROW()-1,60),ROW()-1,FALSE))</f>
        <v/>
      </c>
      <c r="L169" t="str">
        <f ca="1">IF(AND(ISNUMBER($L$364),$B$185=1),$L$364,HLOOKUP(INDIRECT(ADDRESS(2,COLUMN())),OFFSET($BN$2,0,0,ROW()-1,60),ROW()-1,FALSE))</f>
        <v/>
      </c>
      <c r="M169" t="str">
        <f ca="1">IF(AND(ISNUMBER($M$364),$B$185=1),$M$364,HLOOKUP(INDIRECT(ADDRESS(2,COLUMN())),OFFSET($BN$2,0,0,ROW()-1,60),ROW()-1,FALSE))</f>
        <v/>
      </c>
      <c r="N169" t="str">
        <f ca="1">IF(AND(ISNUMBER($N$364),$B$185=1),$N$364,HLOOKUP(INDIRECT(ADDRESS(2,COLUMN())),OFFSET($BN$2,0,0,ROW()-1,60),ROW()-1,FALSE))</f>
        <v/>
      </c>
      <c r="O169" t="str">
        <f ca="1">IF(AND(ISNUMBER($O$364),$B$185=1),$O$364,HLOOKUP(INDIRECT(ADDRESS(2,COLUMN())),OFFSET($BN$2,0,0,ROW()-1,60),ROW()-1,FALSE))</f>
        <v/>
      </c>
      <c r="P169" t="str">
        <f ca="1">IF(AND(ISNUMBER($P$364),$B$185=1),$P$364,HLOOKUP(INDIRECT(ADDRESS(2,COLUMN())),OFFSET($BN$2,0,0,ROW()-1,60),ROW()-1,FALSE))</f>
        <v/>
      </c>
      <c r="Q169" t="str">
        <f ca="1">IF(AND(ISNUMBER($Q$364),$B$185=1),$Q$364,HLOOKUP(INDIRECT(ADDRESS(2,COLUMN())),OFFSET($BN$2,0,0,ROW()-1,60),ROW()-1,FALSE))</f>
        <v/>
      </c>
      <c r="R169" t="str">
        <f ca="1">IF(AND(ISNUMBER($R$364),$B$185=1),$R$364,HLOOKUP(INDIRECT(ADDRESS(2,COLUMN())),OFFSET($BN$2,0,0,ROW()-1,60),ROW()-1,FALSE))</f>
        <v/>
      </c>
      <c r="S169" t="str">
        <f ca="1">IF(AND(ISNUMBER($S$364),$B$185=1),$S$364,HLOOKUP(INDIRECT(ADDRESS(2,COLUMN())),OFFSET($BN$2,0,0,ROW()-1,60),ROW()-1,FALSE))</f>
        <v/>
      </c>
      <c r="T169" t="str">
        <f ca="1">IF(AND(ISNUMBER($T$364),$B$185=1),$T$364,HLOOKUP(INDIRECT(ADDRESS(2,COLUMN())),OFFSET($BN$2,0,0,ROW()-1,60),ROW()-1,FALSE))</f>
        <v/>
      </c>
      <c r="U169" t="str">
        <f ca="1">IF(AND(ISNUMBER($U$364),$B$185=1),$U$364,HLOOKUP(INDIRECT(ADDRESS(2,COLUMN())),OFFSET($BN$2,0,0,ROW()-1,60),ROW()-1,FALSE))</f>
        <v/>
      </c>
      <c r="V169" t="str">
        <f ca="1">IF(AND(ISNUMBER($V$364),$B$185=1),$V$364,HLOOKUP(INDIRECT(ADDRESS(2,COLUMN())),OFFSET($BN$2,0,0,ROW()-1,60),ROW()-1,FALSE))</f>
        <v/>
      </c>
      <c r="W169" t="str">
        <f ca="1">IF(AND(ISNUMBER($W$364),$B$185=1),$W$364,HLOOKUP(INDIRECT(ADDRESS(2,COLUMN())),OFFSET($BN$2,0,0,ROW()-1,60),ROW()-1,FALSE))</f>
        <v/>
      </c>
      <c r="X169" t="str">
        <f ca="1">IF(AND(ISNUMBER($X$364),$B$185=1),$X$364,HLOOKUP(INDIRECT(ADDRESS(2,COLUMN())),OFFSET($BN$2,0,0,ROW()-1,60),ROW()-1,FALSE))</f>
        <v/>
      </c>
      <c r="Y169" t="str">
        <f ca="1">IF(AND(ISNUMBER($Y$364),$B$185=1),$Y$364,HLOOKUP(INDIRECT(ADDRESS(2,COLUMN())),OFFSET($BN$2,0,0,ROW()-1,60),ROW()-1,FALSE))</f>
        <v/>
      </c>
      <c r="Z169" t="str">
        <f ca="1">IF(AND(ISNUMBER($Z$364),$B$185=1),$Z$364,HLOOKUP(INDIRECT(ADDRESS(2,COLUMN())),OFFSET($BN$2,0,0,ROW()-1,60),ROW()-1,FALSE))</f>
        <v/>
      </c>
      <c r="AA169" t="str">
        <f ca="1">IF(AND(ISNUMBER($AA$364),$B$185=1),$AA$364,HLOOKUP(INDIRECT(ADDRESS(2,COLUMN())),OFFSET($BN$2,0,0,ROW()-1,60),ROW()-1,FALSE))</f>
        <v/>
      </c>
      <c r="AB169" t="str">
        <f ca="1">IF(AND(ISNUMBER($AB$364),$B$185=1),$AB$364,HLOOKUP(INDIRECT(ADDRESS(2,COLUMN())),OFFSET($BN$2,0,0,ROW()-1,60),ROW()-1,FALSE))</f>
        <v/>
      </c>
      <c r="AC169" t="str">
        <f ca="1">IF(AND(ISNUMBER($AC$364),$B$185=1),$AC$364,HLOOKUP(INDIRECT(ADDRESS(2,COLUMN())),OFFSET($BN$2,0,0,ROW()-1,60),ROW()-1,FALSE))</f>
        <v/>
      </c>
      <c r="AD169" t="str">
        <f ca="1">IF(AND(ISNUMBER($AD$364),$B$185=1),$AD$364,HLOOKUP(INDIRECT(ADDRESS(2,COLUMN())),OFFSET($BN$2,0,0,ROW()-1,60),ROW()-1,FALSE))</f>
        <v/>
      </c>
      <c r="AE169" t="str">
        <f ca="1">IF(AND(ISNUMBER($AE$364),$B$185=1),$AE$364,HLOOKUP(INDIRECT(ADDRESS(2,COLUMN())),OFFSET($BN$2,0,0,ROW()-1,60),ROW()-1,FALSE))</f>
        <v/>
      </c>
      <c r="AF169" t="str">
        <f ca="1">IF(AND(ISNUMBER($AF$364),$B$185=1),$AF$364,HLOOKUP(INDIRECT(ADDRESS(2,COLUMN())),OFFSET($BN$2,0,0,ROW()-1,60),ROW()-1,FALSE))</f>
        <v/>
      </c>
      <c r="AG169" t="str">
        <f ca="1">IF(AND(ISNUMBER($AG$364),$B$185=1),$AG$364,HLOOKUP(INDIRECT(ADDRESS(2,COLUMN())),OFFSET($BN$2,0,0,ROW()-1,60),ROW()-1,FALSE))</f>
        <v/>
      </c>
      <c r="AH169" t="str">
        <f ca="1">IF(AND(ISNUMBER($AH$364),$B$185=1),$AH$364,HLOOKUP(INDIRECT(ADDRESS(2,COLUMN())),OFFSET($BN$2,0,0,ROW()-1,60),ROW()-1,FALSE))</f>
        <v/>
      </c>
      <c r="AI169" t="str">
        <f ca="1">IF(AND(ISNUMBER($AI$364),$B$185=1),$AI$364,HLOOKUP(INDIRECT(ADDRESS(2,COLUMN())),OFFSET($BN$2,0,0,ROW()-1,60),ROW()-1,FALSE))</f>
        <v/>
      </c>
      <c r="AJ169" t="str">
        <f ca="1">IF(AND(ISNUMBER($AJ$364),$B$185=1),$AJ$364,HLOOKUP(INDIRECT(ADDRESS(2,COLUMN())),OFFSET($BN$2,0,0,ROW()-1,60),ROW()-1,FALSE))</f>
        <v/>
      </c>
      <c r="AK169" t="str">
        <f ca="1">IF(AND(ISNUMBER($AK$364),$B$185=1),$AK$364,HLOOKUP(INDIRECT(ADDRESS(2,COLUMN())),OFFSET($BN$2,0,0,ROW()-1,60),ROW()-1,FALSE))</f>
        <v/>
      </c>
      <c r="AL169" t="str">
        <f ca="1">IF(AND(ISNUMBER($AL$364),$B$185=1),$AL$364,HLOOKUP(INDIRECT(ADDRESS(2,COLUMN())),OFFSET($BN$2,0,0,ROW()-1,60),ROW()-1,FALSE))</f>
        <v/>
      </c>
      <c r="AM169" t="str">
        <f ca="1">IF(AND(ISNUMBER($AM$364),$B$185=1),$AM$364,HLOOKUP(INDIRECT(ADDRESS(2,COLUMN())),OFFSET($BN$2,0,0,ROW()-1,60),ROW()-1,FALSE))</f>
        <v/>
      </c>
      <c r="AN169" t="str">
        <f ca="1">IF(AND(ISNUMBER($AN$364),$B$185=1),$AN$364,HLOOKUP(INDIRECT(ADDRESS(2,COLUMN())),OFFSET($BN$2,0,0,ROW()-1,60),ROW()-1,FALSE))</f>
        <v/>
      </c>
      <c r="AO169" t="str">
        <f ca="1">IF(AND(ISNUMBER($AO$364),$B$185=1),$AO$364,HLOOKUP(INDIRECT(ADDRESS(2,COLUMN())),OFFSET($BN$2,0,0,ROW()-1,60),ROW()-1,FALSE))</f>
        <v/>
      </c>
      <c r="AP169" t="str">
        <f ca="1">IF(AND(ISNUMBER($AP$364),$B$185=1),$AP$364,HLOOKUP(INDIRECT(ADDRESS(2,COLUMN())),OFFSET($BN$2,0,0,ROW()-1,60),ROW()-1,FALSE))</f>
        <v/>
      </c>
      <c r="AQ169" t="str">
        <f ca="1">IF(AND(ISNUMBER($AQ$364),$B$185=1),$AQ$364,HLOOKUP(INDIRECT(ADDRESS(2,COLUMN())),OFFSET($BN$2,0,0,ROW()-1,60),ROW()-1,FALSE))</f>
        <v/>
      </c>
      <c r="AR169" t="str">
        <f ca="1">IF(AND(ISNUMBER($AR$364),$B$185=1),$AR$364,HLOOKUP(INDIRECT(ADDRESS(2,COLUMN())),OFFSET($BN$2,0,0,ROW()-1,60),ROW()-1,FALSE))</f>
        <v/>
      </c>
      <c r="AS169" t="str">
        <f ca="1">IF(AND(ISNUMBER($AS$364),$B$185=1),$AS$364,HLOOKUP(INDIRECT(ADDRESS(2,COLUMN())),OFFSET($BN$2,0,0,ROW()-1,60),ROW()-1,FALSE))</f>
        <v/>
      </c>
      <c r="AT169" t="str">
        <f ca="1">IF(AND(ISNUMBER($AT$364),$B$185=1),$AT$364,HLOOKUP(INDIRECT(ADDRESS(2,COLUMN())),OFFSET($BN$2,0,0,ROW()-1,60),ROW()-1,FALSE))</f>
        <v/>
      </c>
      <c r="AU169" t="str">
        <f ca="1">IF(AND(ISNUMBER($AU$364),$B$185=1),$AU$364,HLOOKUP(INDIRECT(ADDRESS(2,COLUMN())),OFFSET($BN$2,0,0,ROW()-1,60),ROW()-1,FALSE))</f>
        <v/>
      </c>
      <c r="AV169" t="str">
        <f ca="1">IF(AND(ISNUMBER($AV$364),$B$185=1),$AV$364,HLOOKUP(INDIRECT(ADDRESS(2,COLUMN())),OFFSET($BN$2,0,0,ROW()-1,60),ROW()-1,FALSE))</f>
        <v/>
      </c>
      <c r="AW169" t="str">
        <f ca="1">IF(AND(ISNUMBER($AW$364),$B$185=1),$AW$364,HLOOKUP(INDIRECT(ADDRESS(2,COLUMN())),OFFSET($BN$2,0,0,ROW()-1,60),ROW()-1,FALSE))</f>
        <v/>
      </c>
      <c r="AX169" t="str">
        <f ca="1">IF(AND(ISNUMBER($AX$364),$B$185=1),$AX$364,HLOOKUP(INDIRECT(ADDRESS(2,COLUMN())),OFFSET($BN$2,0,0,ROW()-1,60),ROW()-1,FALSE))</f>
        <v/>
      </c>
      <c r="AY169" t="str">
        <f ca="1">IF(AND(ISNUMBER($AY$364),$B$185=1),$AY$364,HLOOKUP(INDIRECT(ADDRESS(2,COLUMN())),OFFSET($BN$2,0,0,ROW()-1,60),ROW()-1,FALSE))</f>
        <v/>
      </c>
      <c r="AZ169" t="str">
        <f ca="1">IF(AND(ISNUMBER($AZ$364),$B$185=1),$AZ$364,HLOOKUP(INDIRECT(ADDRESS(2,COLUMN())),OFFSET($BN$2,0,0,ROW()-1,60),ROW()-1,FALSE))</f>
        <v/>
      </c>
      <c r="BA169" t="str">
        <f ca="1">IF(AND(ISNUMBER($BA$364),$B$185=1),$BA$364,HLOOKUP(INDIRECT(ADDRESS(2,COLUMN())),OFFSET($BN$2,0,0,ROW()-1,60),ROW()-1,FALSE))</f>
        <v/>
      </c>
      <c r="BB169" t="str">
        <f ca="1">IF(AND(ISNUMBER($BB$364),$B$185=1),$BB$364,HLOOKUP(INDIRECT(ADDRESS(2,COLUMN())),OFFSET($BN$2,0,0,ROW()-1,60),ROW()-1,FALSE))</f>
        <v/>
      </c>
      <c r="BC169" t="str">
        <f ca="1">IF(AND(ISNUMBER($BC$364),$B$185=1),$BC$364,HLOOKUP(INDIRECT(ADDRESS(2,COLUMN())),OFFSET($BN$2,0,0,ROW()-1,60),ROW()-1,FALSE))</f>
        <v/>
      </c>
      <c r="BD169" t="str">
        <f ca="1">IF(AND(ISNUMBER($BD$364),$B$185=1),$BD$364,HLOOKUP(INDIRECT(ADDRESS(2,COLUMN())),OFFSET($BN$2,0,0,ROW()-1,60),ROW()-1,FALSE))</f>
        <v/>
      </c>
      <c r="BE169" t="str">
        <f ca="1">IF(AND(ISNUMBER($BE$364),$B$185=1),$BE$364,HLOOKUP(INDIRECT(ADDRESS(2,COLUMN())),OFFSET($BN$2,0,0,ROW()-1,60),ROW()-1,FALSE))</f>
        <v/>
      </c>
      <c r="BF169" t="str">
        <f ca="1">IF(AND(ISNUMBER($BF$364),$B$185=1),$BF$364,HLOOKUP(INDIRECT(ADDRESS(2,COLUMN())),OFFSET($BN$2,0,0,ROW()-1,60),ROW()-1,FALSE))</f>
        <v/>
      </c>
      <c r="BG169" t="str">
        <f ca="1">IF(AND(ISNUMBER($BG$364),$B$185=1),$BG$364,HLOOKUP(INDIRECT(ADDRESS(2,COLUMN())),OFFSET($BN$2,0,0,ROW()-1,60),ROW()-1,FALSE))</f>
        <v/>
      </c>
      <c r="BH169" t="str">
        <f ca="1">IF(AND(ISNUMBER($BH$364),$B$185=1),$BH$364,HLOOKUP(INDIRECT(ADDRESS(2,COLUMN())),OFFSET($BN$2,0,0,ROW()-1,60),ROW()-1,FALSE))</f>
        <v/>
      </c>
      <c r="BI169" t="str">
        <f ca="1">IF(AND(ISNUMBER($BI$364),$B$185=1),$BI$364,HLOOKUP(INDIRECT(ADDRESS(2,COLUMN())),OFFSET($BN$2,0,0,ROW()-1,60),ROW()-1,FALSE))</f>
        <v/>
      </c>
      <c r="BJ169" t="str">
        <f ca="1">IF(AND(ISNUMBER($BJ$364),$B$185=1),$BJ$364,HLOOKUP(INDIRECT(ADDRESS(2,COLUMN())),OFFSET($BN$2,0,0,ROW()-1,60),ROW()-1,FALSE))</f>
        <v/>
      </c>
      <c r="BK169" t="str">
        <f ca="1">IF(AND(ISNUMBER($BK$364),$B$185=1),$BK$364,HLOOKUP(INDIRECT(ADDRESS(2,COLUMN())),OFFSET($BN$2,0,0,ROW()-1,60),ROW()-1,FALSE))</f>
        <v/>
      </c>
      <c r="BL169" t="str">
        <f ca="1">IF(AND(ISNUMBER($BL$364),$B$185=1),$BL$364,HLOOKUP(INDIRECT(ADDRESS(2,COLUMN())),OFFSET($BN$2,0,0,ROW()-1,60),ROW()-1,FALSE))</f>
        <v/>
      </c>
      <c r="BM169" t="str">
        <f ca="1">IF(AND(ISNUMBER($BM$364),$B$185=1),$BM$364,HLOOKUP(INDIRECT(ADDRESS(2,COLUMN())),OFFSET($BN$2,0,0,ROW()-1,60),ROW()-1,FALSE))</f>
        <v/>
      </c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>
      <c r="A177" t="str">
        <f t="shared" ref="A177:AF177" si="22">"~~~~~~~~~~"</f>
        <v>~~~~~~~~~~</v>
      </c>
      <c r="B177" t="str">
        <f t="shared" si="22"/>
        <v>~~~~~~~~~~</v>
      </c>
      <c r="C177" t="str">
        <f t="shared" si="22"/>
        <v>~~~~~~~~~~</v>
      </c>
      <c r="D177" t="str">
        <f t="shared" si="22"/>
        <v>~~~~~~~~~~</v>
      </c>
      <c r="E177" t="str">
        <f t="shared" si="22"/>
        <v>~~~~~~~~~~</v>
      </c>
      <c r="F177" t="str">
        <f t="shared" si="22"/>
        <v>~~~~~~~~~~</v>
      </c>
      <c r="G177" t="str">
        <f t="shared" si="22"/>
        <v>~~~~~~~~~~</v>
      </c>
      <c r="H177" t="str">
        <f t="shared" si="22"/>
        <v>~~~~~~~~~~</v>
      </c>
      <c r="I177" t="str">
        <f t="shared" si="22"/>
        <v>~~~~~~~~~~</v>
      </c>
      <c r="J177" t="str">
        <f t="shared" si="22"/>
        <v>~~~~~~~~~~</v>
      </c>
      <c r="K177" t="str">
        <f t="shared" si="22"/>
        <v>~~~~~~~~~~</v>
      </c>
      <c r="L177" t="str">
        <f t="shared" si="22"/>
        <v>~~~~~~~~~~</v>
      </c>
      <c r="M177" t="str">
        <f t="shared" si="22"/>
        <v>~~~~~~~~~~</v>
      </c>
      <c r="N177" t="str">
        <f t="shared" si="22"/>
        <v>~~~~~~~~~~</v>
      </c>
      <c r="O177" t="str">
        <f t="shared" si="22"/>
        <v>~~~~~~~~~~</v>
      </c>
      <c r="P177" t="str">
        <f t="shared" si="22"/>
        <v>~~~~~~~~~~</v>
      </c>
      <c r="Q177" t="str">
        <f t="shared" si="22"/>
        <v>~~~~~~~~~~</v>
      </c>
      <c r="R177" t="str">
        <f t="shared" si="22"/>
        <v>~~~~~~~~~~</v>
      </c>
      <c r="S177" t="str">
        <f t="shared" si="22"/>
        <v>~~~~~~~~~~</v>
      </c>
      <c r="T177" t="str">
        <f t="shared" si="22"/>
        <v>~~~~~~~~~~</v>
      </c>
      <c r="U177" t="str">
        <f t="shared" si="22"/>
        <v>~~~~~~~~~~</v>
      </c>
      <c r="V177" t="str">
        <f t="shared" si="22"/>
        <v>~~~~~~~~~~</v>
      </c>
      <c r="W177" t="str">
        <f t="shared" si="22"/>
        <v>~~~~~~~~~~</v>
      </c>
      <c r="X177" t="str">
        <f t="shared" si="22"/>
        <v>~~~~~~~~~~</v>
      </c>
      <c r="Y177" t="str">
        <f t="shared" si="22"/>
        <v>~~~~~~~~~~</v>
      </c>
      <c r="Z177" t="str">
        <f t="shared" si="22"/>
        <v>~~~~~~~~~~</v>
      </c>
      <c r="AA177" t="str">
        <f t="shared" si="22"/>
        <v>~~~~~~~~~~</v>
      </c>
      <c r="AB177" t="str">
        <f t="shared" si="22"/>
        <v>~~~~~~~~~~</v>
      </c>
      <c r="AC177" t="str">
        <f t="shared" si="22"/>
        <v>~~~~~~~~~~</v>
      </c>
      <c r="AD177" t="str">
        <f t="shared" si="22"/>
        <v>~~~~~~~~~~</v>
      </c>
      <c r="AE177" t="str">
        <f t="shared" si="22"/>
        <v>~~~~~~~~~~</v>
      </c>
      <c r="AF177" t="str">
        <f t="shared" si="22"/>
        <v>~~~~~~~~~~</v>
      </c>
      <c r="AG177" t="str">
        <f t="shared" ref="AG177:BM177" si="23">"~~~~~~~~~~"</f>
        <v>~~~~~~~~~~</v>
      </c>
      <c r="AH177" t="str">
        <f t="shared" si="23"/>
        <v>~~~~~~~~~~</v>
      </c>
      <c r="AI177" t="str">
        <f t="shared" si="23"/>
        <v>~~~~~~~~~~</v>
      </c>
      <c r="AJ177" t="str">
        <f t="shared" si="23"/>
        <v>~~~~~~~~~~</v>
      </c>
      <c r="AK177" t="str">
        <f t="shared" si="23"/>
        <v>~~~~~~~~~~</v>
      </c>
      <c r="AL177" t="str">
        <f t="shared" si="23"/>
        <v>~~~~~~~~~~</v>
      </c>
      <c r="AM177" t="str">
        <f t="shared" si="23"/>
        <v>~~~~~~~~~~</v>
      </c>
      <c r="AN177" t="str">
        <f t="shared" si="23"/>
        <v>~~~~~~~~~~</v>
      </c>
      <c r="AO177" t="str">
        <f t="shared" si="23"/>
        <v>~~~~~~~~~~</v>
      </c>
      <c r="AP177" t="str">
        <f t="shared" si="23"/>
        <v>~~~~~~~~~~</v>
      </c>
      <c r="AQ177" t="str">
        <f t="shared" si="23"/>
        <v>~~~~~~~~~~</v>
      </c>
      <c r="AR177" t="str">
        <f t="shared" si="23"/>
        <v>~~~~~~~~~~</v>
      </c>
      <c r="AS177" t="str">
        <f t="shared" si="23"/>
        <v>~~~~~~~~~~</v>
      </c>
      <c r="AT177" t="str">
        <f t="shared" si="23"/>
        <v>~~~~~~~~~~</v>
      </c>
      <c r="AU177" t="str">
        <f t="shared" si="23"/>
        <v>~~~~~~~~~~</v>
      </c>
      <c r="AV177" t="str">
        <f t="shared" si="23"/>
        <v>~~~~~~~~~~</v>
      </c>
      <c r="AW177" t="str">
        <f t="shared" si="23"/>
        <v>~~~~~~~~~~</v>
      </c>
      <c r="AX177" t="str">
        <f t="shared" si="23"/>
        <v>~~~~~~~~~~</v>
      </c>
      <c r="AY177" t="str">
        <f t="shared" si="23"/>
        <v>~~~~~~~~~~</v>
      </c>
      <c r="AZ177" t="str">
        <f t="shared" si="23"/>
        <v>~~~~~~~~~~</v>
      </c>
      <c r="BA177" t="str">
        <f t="shared" si="23"/>
        <v>~~~~~~~~~~</v>
      </c>
      <c r="BB177" t="str">
        <f t="shared" si="23"/>
        <v>~~~~~~~~~~</v>
      </c>
      <c r="BC177" t="str">
        <f t="shared" si="23"/>
        <v>~~~~~~~~~~</v>
      </c>
      <c r="BD177" t="str">
        <f t="shared" si="23"/>
        <v>~~~~~~~~~~</v>
      </c>
      <c r="BE177" t="str">
        <f t="shared" si="23"/>
        <v>~~~~~~~~~~</v>
      </c>
      <c r="BF177" t="str">
        <f t="shared" si="23"/>
        <v>~~~~~~~~~~</v>
      </c>
      <c r="BG177" t="str">
        <f t="shared" si="23"/>
        <v>~~~~~~~~~~</v>
      </c>
      <c r="BH177" t="str">
        <f t="shared" si="23"/>
        <v>~~~~~~~~~~</v>
      </c>
      <c r="BI177" t="str">
        <f t="shared" si="23"/>
        <v>~~~~~~~~~~</v>
      </c>
      <c r="BJ177" t="str">
        <f t="shared" si="23"/>
        <v>~~~~~~~~~~</v>
      </c>
      <c r="BK177" t="str">
        <f t="shared" si="23"/>
        <v>~~~~~~~~~~</v>
      </c>
      <c r="BL177" t="str">
        <f t="shared" si="23"/>
        <v>~~~~~~~~~~</v>
      </c>
      <c r="BM177" t="str">
        <f t="shared" si="23"/>
        <v>~~~~~~~~~~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>
      <c r="A178" t="str">
        <f>"All rows below have been added for reference by formula rows above."</f>
        <v>All rows below have been added for reference by formula rows above.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>
      <c r="A179">
        <f>RTD("bloomberg.ccyreader", "", "#track", "DBG", "BIHITX", "1.0","RepeatHit")</f>
        <v>0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>
      <c r="A180" t="str">
        <f>"Currency"</f>
        <v>Currency</v>
      </c>
      <c r="B180" t="str">
        <f>"USD"</f>
        <v>USD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>
      <c r="A181" t="str">
        <f>"Periodicity"</f>
        <v>Periodicity</v>
      </c>
      <c r="B181" t="str">
        <f>"CQ"</f>
        <v>CQ</v>
      </c>
      <c r="C181" t="str">
        <f>"AQ"</f>
        <v>AQ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>
      <c r="A182" t="str">
        <f>"Number of Periods"</f>
        <v>Number of Periods</v>
      </c>
      <c r="B182">
        <f>60</f>
        <v>60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>
      <c r="A183" t="str">
        <f>"Start Date"</f>
        <v>Start Date</v>
      </c>
      <c r="B183" t="str">
        <f>CONCATENATE("-",$B$182,$B$181)</f>
        <v>-60CQ</v>
      </c>
      <c r="C183" t="str">
        <f>CONCATENATE("-",$B$182,$C$181)</f>
        <v>-60AQ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>
      <c r="A184" t="str">
        <f>"End Date"</f>
        <v>End Date</v>
      </c>
      <c r="B184">
        <f ca="1">TODAY()</f>
        <v>45743</v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>
      <c r="A185" t="str">
        <f>"HeaderStatus(custom data)"</f>
        <v>HeaderStatus(custom data)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>
      <c r="B187" t="str">
        <f>"BAC US Equity"</f>
        <v>BAC US Equity</v>
      </c>
      <c r="C187" t="str">
        <f>"A0621"</f>
        <v>A0621</v>
      </c>
      <c r="D187" t="str">
        <f>"ARD_MORTGAGE_BANKING_REVENUE"</f>
        <v>ARD_MORTGAGE_BANKING_REVENUE</v>
      </c>
      <c r="E187" t="str">
        <f t="shared" ref="E187:E226" si="24">"Dynamic"</f>
        <v>Dynamic</v>
      </c>
      <c r="F187" t="e">
        <f ca="1">_xll.BDH($B$187,$C$187,$B$183,$B$184,CONCATENATE("Per=",$B$181),"Dts=H","Dir=H",CONCATENATE("Points=",$B$182),"Sort=R","Days=A","Fill=B",CONCATENATE("FX=", $B$180),"cols=60;rows=1")</f>
        <v>#NAME?</v>
      </c>
      <c r="AL187">
        <v>519</v>
      </c>
      <c r="AM187">
        <v>589</v>
      </c>
      <c r="AN187">
        <v>312</v>
      </c>
      <c r="AO187">
        <v>433</v>
      </c>
      <c r="AP187">
        <v>262</v>
      </c>
      <c r="AQ187">
        <v>407</v>
      </c>
      <c r="AR187">
        <v>1001</v>
      </c>
      <c r="AS187">
        <v>694</v>
      </c>
      <c r="AT187">
        <v>352</v>
      </c>
      <c r="AU187">
        <v>272</v>
      </c>
      <c r="AV187">
        <v>527</v>
      </c>
      <c r="AW187">
        <v>412</v>
      </c>
      <c r="AX187">
        <v>848</v>
      </c>
      <c r="AY187">
        <v>585</v>
      </c>
      <c r="AZ187">
        <v>1178</v>
      </c>
      <c r="BA187">
        <v>1263</v>
      </c>
      <c r="BB187">
        <v>-540</v>
      </c>
      <c r="BC187">
        <v>2019</v>
      </c>
      <c r="BD187">
        <v>1659</v>
      </c>
      <c r="BE187">
        <v>1612</v>
      </c>
      <c r="BF187">
        <v>2119</v>
      </c>
      <c r="BG187">
        <v>1617</v>
      </c>
      <c r="BH187">
        <v>-13196</v>
      </c>
      <c r="BI187">
        <v>630</v>
      </c>
      <c r="BJ187">
        <v>-1419</v>
      </c>
      <c r="BK187">
        <v>1755</v>
      </c>
      <c r="BL187">
        <v>898</v>
      </c>
      <c r="BM187">
        <v>1500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>
      <c r="B188" t="str">
        <f>"BAC US Equity"</f>
        <v>BAC US Equity</v>
      </c>
      <c r="C188" t="str">
        <f>"RR209"</f>
        <v>RR209</v>
      </c>
      <c r="D188" t="str">
        <f>"NET_REV"</f>
        <v>NET_REV</v>
      </c>
      <c r="E188" t="str">
        <f t="shared" si="24"/>
        <v>Dynamic</v>
      </c>
      <c r="F188" t="e">
        <f ca="1">_xll.BDH($B$188,$C$188,$B$183,$B$184,CONCATENATE("Per=",$B$181),"Dts=H","Dir=H",CONCATENATE("Points=",$B$182),"Sort=R","Days=A","Fill=B",CONCATENATE("FX=", $B$180),"cols=60;rows=1")</f>
        <v>#NAME?</v>
      </c>
      <c r="G188">
        <v>25345</v>
      </c>
      <c r="H188">
        <v>25377</v>
      </c>
      <c r="I188">
        <v>25818</v>
      </c>
      <c r="J188">
        <v>21959</v>
      </c>
      <c r="K188">
        <v>25167</v>
      </c>
      <c r="L188">
        <v>25197</v>
      </c>
      <c r="M188">
        <v>26258</v>
      </c>
      <c r="N188">
        <v>24532</v>
      </c>
      <c r="O188">
        <v>24502</v>
      </c>
      <c r="P188">
        <v>22688</v>
      </c>
      <c r="Q188">
        <v>23228</v>
      </c>
      <c r="R188">
        <v>22060</v>
      </c>
      <c r="S188">
        <v>22766</v>
      </c>
      <c r="T188">
        <v>21466</v>
      </c>
      <c r="U188">
        <v>22821</v>
      </c>
      <c r="V188">
        <v>20099</v>
      </c>
      <c r="W188">
        <v>20336</v>
      </c>
      <c r="X188">
        <v>22326</v>
      </c>
      <c r="Y188">
        <v>22767</v>
      </c>
      <c r="Z188">
        <v>22349</v>
      </c>
      <c r="AA188">
        <v>22807</v>
      </c>
      <c r="AB188">
        <v>23084</v>
      </c>
      <c r="AC188">
        <v>23004</v>
      </c>
      <c r="AD188">
        <v>22677</v>
      </c>
      <c r="AE188">
        <v>22724</v>
      </c>
      <c r="AF188">
        <v>22549</v>
      </c>
      <c r="AG188">
        <v>23070</v>
      </c>
      <c r="AH188">
        <v>20436</v>
      </c>
      <c r="AI188">
        <v>21839</v>
      </c>
      <c r="AJ188">
        <v>22829</v>
      </c>
      <c r="AK188">
        <v>22248</v>
      </c>
      <c r="AL188">
        <v>19990</v>
      </c>
      <c r="AM188">
        <v>21635</v>
      </c>
      <c r="AN188">
        <v>21286</v>
      </c>
      <c r="AO188">
        <v>20790</v>
      </c>
      <c r="AP188">
        <v>19582</v>
      </c>
      <c r="AQ188">
        <v>20992</v>
      </c>
      <c r="AR188">
        <v>21956</v>
      </c>
      <c r="AS188">
        <v>20914</v>
      </c>
      <c r="AT188">
        <v>18725</v>
      </c>
      <c r="AU188">
        <v>21209</v>
      </c>
      <c r="AV188">
        <v>21747</v>
      </c>
      <c r="AW188">
        <v>22566</v>
      </c>
      <c r="AX188">
        <v>21488</v>
      </c>
      <c r="AY188">
        <v>21530</v>
      </c>
      <c r="AZ188">
        <v>22727</v>
      </c>
      <c r="BA188">
        <v>23197</v>
      </c>
      <c r="BB188">
        <v>18660</v>
      </c>
      <c r="BC188">
        <v>20428</v>
      </c>
      <c r="BD188">
        <v>21968</v>
      </c>
      <c r="BE188">
        <v>22278</v>
      </c>
      <c r="BF188">
        <v>24888</v>
      </c>
      <c r="BG188">
        <v>28453</v>
      </c>
      <c r="BH188">
        <v>13236</v>
      </c>
      <c r="BI188">
        <v>26877</v>
      </c>
      <c r="BJ188">
        <v>22398</v>
      </c>
      <c r="BK188">
        <v>26700</v>
      </c>
      <c r="BL188">
        <v>29153</v>
      </c>
      <c r="BM188">
        <v>31969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>
      <c r="B189" t="str">
        <f>"C US Equity"</f>
        <v>C US Equity</v>
      </c>
      <c r="C189" t="str">
        <f>"A0621"</f>
        <v>A0621</v>
      </c>
      <c r="D189" t="str">
        <f>"ARD_MORTGAGE_BANKING_REVENUE"</f>
        <v>ARD_MORTGAGE_BANKING_REVENUE</v>
      </c>
      <c r="E189" t="str">
        <f t="shared" si="24"/>
        <v>Dynamic</v>
      </c>
      <c r="F189" t="e">
        <f ca="1">_xll.BDH($B$189,$C$189,$B$183,$B$184,CONCATENATE("Per=",$B$181),"Dts=H","Dir=H",CONCATENATE("Points=",$B$182),"Sort=R","Days=A","Fill=B",CONCATENATE("FX=", $B$180) )</f>
        <v>#NAME?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>
      <c r="B190" t="str">
        <f>"C US Equity"</f>
        <v>C US Equity</v>
      </c>
      <c r="C190" t="str">
        <f>"RR209"</f>
        <v>RR209</v>
      </c>
      <c r="D190" t="str">
        <f>"NET_REV"</f>
        <v>NET_REV</v>
      </c>
      <c r="E190" t="str">
        <f t="shared" si="24"/>
        <v>Dynamic</v>
      </c>
      <c r="F190" t="e">
        <f ca="1">_xll.BDH($B$190,$C$190,$B$183,$B$184,CONCATENATE("Per=",$B$181),"Dts=H","Dir=H",CONCATENATE("Points=",$B$182),"Sort=R","Days=A","Fill=B",CONCATENATE("FX=", $B$180),"cols=60;rows=1")</f>
        <v>#NAME?</v>
      </c>
      <c r="G190">
        <v>20315</v>
      </c>
      <c r="H190">
        <v>20139</v>
      </c>
      <c r="I190">
        <v>21104</v>
      </c>
      <c r="J190">
        <v>17440</v>
      </c>
      <c r="K190">
        <v>20139</v>
      </c>
      <c r="L190">
        <v>19436</v>
      </c>
      <c r="M190">
        <v>21447</v>
      </c>
      <c r="N190">
        <v>18006</v>
      </c>
      <c r="O190">
        <v>18508</v>
      </c>
      <c r="P190">
        <v>19638</v>
      </c>
      <c r="Q190">
        <v>19186</v>
      </c>
      <c r="R190">
        <v>17017</v>
      </c>
      <c r="S190">
        <v>17447</v>
      </c>
      <c r="T190">
        <v>17474</v>
      </c>
      <c r="U190">
        <v>19327</v>
      </c>
      <c r="V190">
        <v>16832</v>
      </c>
      <c r="W190">
        <v>17302</v>
      </c>
      <c r="X190">
        <v>19766</v>
      </c>
      <c r="Y190">
        <v>20731</v>
      </c>
      <c r="Z190">
        <v>18378</v>
      </c>
      <c r="AA190">
        <v>18574</v>
      </c>
      <c r="AB190">
        <v>18758</v>
      </c>
      <c r="AC190">
        <v>18576</v>
      </c>
      <c r="AD190">
        <v>17124</v>
      </c>
      <c r="AE190">
        <v>18389</v>
      </c>
      <c r="AF190">
        <v>18469</v>
      </c>
      <c r="AG190">
        <v>18872</v>
      </c>
      <c r="AH190">
        <v>17504</v>
      </c>
      <c r="AI190">
        <v>18419</v>
      </c>
      <c r="AJ190">
        <v>18155</v>
      </c>
      <c r="AK190">
        <v>18366</v>
      </c>
      <c r="AL190">
        <v>17012</v>
      </c>
      <c r="AM190">
        <v>17760</v>
      </c>
      <c r="AN190">
        <v>17548</v>
      </c>
      <c r="AO190">
        <v>17555</v>
      </c>
      <c r="AP190">
        <v>18456</v>
      </c>
      <c r="AQ190">
        <v>18692</v>
      </c>
      <c r="AR190">
        <v>19470</v>
      </c>
      <c r="AS190">
        <v>19736</v>
      </c>
      <c r="AT190">
        <v>17899</v>
      </c>
      <c r="AU190">
        <v>19689</v>
      </c>
      <c r="AV190">
        <v>19425</v>
      </c>
      <c r="AW190">
        <v>20206</v>
      </c>
      <c r="AX190">
        <v>17779</v>
      </c>
      <c r="AY190">
        <v>17904</v>
      </c>
      <c r="AZ190">
        <v>20488</v>
      </c>
      <c r="BA190">
        <v>20248</v>
      </c>
      <c r="BB190">
        <v>17917</v>
      </c>
      <c r="BC190">
        <v>13703</v>
      </c>
      <c r="BD190">
        <v>18387</v>
      </c>
      <c r="BE190">
        <v>19406</v>
      </c>
      <c r="BF190">
        <v>17174</v>
      </c>
      <c r="BG190">
        <v>20831</v>
      </c>
      <c r="BH190">
        <v>20622</v>
      </c>
      <c r="BI190">
        <v>19726</v>
      </c>
      <c r="BJ190">
        <v>18371</v>
      </c>
      <c r="BK190">
        <v>20738</v>
      </c>
      <c r="BL190">
        <v>22071</v>
      </c>
      <c r="BM190">
        <v>25421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>
      <c r="B191" t="str">
        <f>"CFG US Equity"</f>
        <v>CFG US Equity</v>
      </c>
      <c r="C191" t="str">
        <f>"A0621"</f>
        <v>A0621</v>
      </c>
      <c r="D191" t="str">
        <f>"ARD_MORTGAGE_BANKING_REVENUE"</f>
        <v>ARD_MORTGAGE_BANKING_REVENUE</v>
      </c>
      <c r="E191" t="str">
        <f t="shared" si="24"/>
        <v>Dynamic</v>
      </c>
      <c r="F191" t="e">
        <f ca="1">_xll.BDH($B$191,$C$191,$B$183,$B$184,CONCATENATE("Per=",$B$181),"Dts=H","Dir=H",CONCATENATE("Points=",$B$182),"Sort=R","Days=A","Fill=B",CONCATENATE("FX=", $B$180),"cols=60;rows=1")</f>
        <v>#NAME?</v>
      </c>
      <c r="G191">
        <v>46</v>
      </c>
      <c r="H191">
        <v>54</v>
      </c>
      <c r="I191">
        <v>49</v>
      </c>
      <c r="J191">
        <v>57</v>
      </c>
      <c r="K191">
        <v>69</v>
      </c>
      <c r="L191">
        <v>59</v>
      </c>
      <c r="M191">
        <v>57</v>
      </c>
      <c r="N191">
        <v>54</v>
      </c>
      <c r="O191">
        <v>66</v>
      </c>
      <c r="P191">
        <v>72</v>
      </c>
      <c r="Q191">
        <v>69</v>
      </c>
      <c r="R191">
        <v>76</v>
      </c>
      <c r="S191">
        <v>108</v>
      </c>
      <c r="T191">
        <v>85</v>
      </c>
      <c r="U191">
        <v>165</v>
      </c>
      <c r="V191">
        <v>193</v>
      </c>
      <c r="W191">
        <v>287</v>
      </c>
      <c r="X191">
        <v>276</v>
      </c>
      <c r="Y191">
        <v>159</v>
      </c>
      <c r="Z191">
        <v>80</v>
      </c>
      <c r="AA191">
        <v>117</v>
      </c>
      <c r="AB191">
        <v>62</v>
      </c>
      <c r="AC191">
        <v>43</v>
      </c>
      <c r="AD191">
        <v>51</v>
      </c>
      <c r="AE191">
        <v>49</v>
      </c>
      <c r="AF191">
        <v>27</v>
      </c>
      <c r="AG191">
        <v>25</v>
      </c>
      <c r="AI191">
        <v>27</v>
      </c>
      <c r="AJ191">
        <v>30</v>
      </c>
      <c r="AK191">
        <v>23</v>
      </c>
      <c r="AL191">
        <v>36</v>
      </c>
      <c r="AM191">
        <v>33</v>
      </c>
      <c r="AN191">
        <v>25</v>
      </c>
      <c r="AO191">
        <v>18</v>
      </c>
      <c r="AP191">
        <v>20</v>
      </c>
      <c r="AQ191">
        <v>18</v>
      </c>
      <c r="AR191">
        <v>30</v>
      </c>
      <c r="AS191">
        <v>33</v>
      </c>
      <c r="AT191">
        <v>16</v>
      </c>
      <c r="AU191">
        <v>21</v>
      </c>
      <c r="AV191">
        <v>14</v>
      </c>
      <c r="AW191">
        <v>20</v>
      </c>
      <c r="AX191">
        <v>20</v>
      </c>
      <c r="AY191">
        <v>20</v>
      </c>
      <c r="BA191">
        <v>46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>
      <c r="B192" t="str">
        <f>"CFG US Equity"</f>
        <v>CFG US Equity</v>
      </c>
      <c r="C192" t="str">
        <f>"RR209"</f>
        <v>RR209</v>
      </c>
      <c r="D192" t="str">
        <f>"NET_REV"</f>
        <v>NET_REV</v>
      </c>
      <c r="E192" t="str">
        <f t="shared" si="24"/>
        <v>Dynamic</v>
      </c>
      <c r="F192" t="e">
        <f ca="1">_xll.BDH($B$192,$C$192,$B$183,$B$184,CONCATENATE("Per=",$B$181),"Dts=H","Dir=H",CONCATENATE("Points=",$B$182),"Sort=R","Days=A","Fill=B",CONCATENATE("FX=", $B$180),"cols=60;rows=1")</f>
        <v>#NAME?</v>
      </c>
      <c r="G192">
        <v>1901</v>
      </c>
      <c r="H192">
        <v>1963</v>
      </c>
      <c r="I192">
        <v>1959</v>
      </c>
      <c r="J192">
        <v>1988</v>
      </c>
      <c r="K192">
        <v>2014</v>
      </c>
      <c r="L192">
        <v>2094</v>
      </c>
      <c r="M192">
        <v>2128</v>
      </c>
      <c r="N192">
        <v>2200</v>
      </c>
      <c r="O192">
        <v>2177</v>
      </c>
      <c r="P192">
        <v>1999</v>
      </c>
      <c r="Q192">
        <v>1645</v>
      </c>
      <c r="R192">
        <v>1720</v>
      </c>
      <c r="S192">
        <v>1659</v>
      </c>
      <c r="T192">
        <v>1609</v>
      </c>
      <c r="U192">
        <v>1659</v>
      </c>
      <c r="V192">
        <v>1707</v>
      </c>
      <c r="W192">
        <v>1791</v>
      </c>
      <c r="X192">
        <v>1750</v>
      </c>
      <c r="Y192">
        <v>1657</v>
      </c>
      <c r="Z192">
        <v>1637</v>
      </c>
      <c r="AA192">
        <v>1638</v>
      </c>
      <c r="AB192">
        <v>1628</v>
      </c>
      <c r="AC192">
        <v>1588</v>
      </c>
      <c r="AD192">
        <v>1593</v>
      </c>
      <c r="AE192">
        <v>1564</v>
      </c>
      <c r="AF192">
        <v>1509</v>
      </c>
      <c r="AG192">
        <v>1462</v>
      </c>
      <c r="AH192">
        <v>1485</v>
      </c>
      <c r="AI192">
        <v>1443</v>
      </c>
      <c r="AJ192">
        <v>1396</v>
      </c>
      <c r="AK192">
        <v>1384</v>
      </c>
      <c r="AL192">
        <v>1363</v>
      </c>
      <c r="AM192">
        <v>1380</v>
      </c>
      <c r="AN192">
        <v>1278</v>
      </c>
      <c r="AO192">
        <v>1234</v>
      </c>
      <c r="AP192">
        <v>1232</v>
      </c>
      <c r="AQ192">
        <v>1209</v>
      </c>
      <c r="AR192">
        <v>1200</v>
      </c>
      <c r="AS192">
        <v>1183</v>
      </c>
      <c r="AT192">
        <v>1179</v>
      </c>
      <c r="AU192">
        <v>1161</v>
      </c>
      <c r="AV192">
        <v>1473</v>
      </c>
      <c r="AW192">
        <v>1166</v>
      </c>
      <c r="AX192">
        <v>1158</v>
      </c>
      <c r="AY192">
        <v>1153</v>
      </c>
      <c r="AZ192">
        <v>1186</v>
      </c>
      <c r="BA192">
        <v>1193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2:125">
      <c r="B193" t="str">
        <f>"COF US Equity"</f>
        <v>COF US Equity</v>
      </c>
      <c r="C193" t="str">
        <f>"A0621"</f>
        <v>A0621</v>
      </c>
      <c r="D193" t="str">
        <f>"ARD_MORTGAGE_BANKING_REVENUE"</f>
        <v>ARD_MORTGAGE_BANKING_REVENUE</v>
      </c>
      <c r="E193" t="str">
        <f t="shared" si="24"/>
        <v>Dynamic</v>
      </c>
      <c r="F193" t="e">
        <f ca="1">_xll.BDH($B$193,$C$193,$B$183,$B$184,CONCATENATE("Per=",$B$181),"Dts=H","Dir=H",CONCATENATE("Points=",$B$182),"Sort=R","Days=A","Fill=B",CONCATENATE("FX=", $B$180) )</f>
        <v>#NAME?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2:125">
      <c r="B194" t="str">
        <f>"COF US Equity"</f>
        <v>COF US Equity</v>
      </c>
      <c r="C194" t="str">
        <f>"RR209"</f>
        <v>RR209</v>
      </c>
      <c r="D194" t="str">
        <f>"NET_REV"</f>
        <v>NET_REV</v>
      </c>
      <c r="E194" t="str">
        <f t="shared" si="24"/>
        <v>Dynamic</v>
      </c>
      <c r="F194" t="e">
        <f ca="1">_xll.BDH($B$194,$C$194,$B$183,$B$184,CONCATENATE("Per=",$B$181),"Dts=H","Dir=H",CONCATENATE("Points=",$B$182),"Sort=R","Days=A","Fill=B",CONCATENATE("FX=", $B$180),"cols=60;rows=1")</f>
        <v>#NAME?</v>
      </c>
      <c r="G194">
        <v>10014</v>
      </c>
      <c r="H194">
        <v>9506</v>
      </c>
      <c r="I194">
        <v>9402</v>
      </c>
      <c r="J194">
        <v>9506</v>
      </c>
      <c r="K194">
        <v>9366</v>
      </c>
      <c r="L194">
        <v>9012</v>
      </c>
      <c r="M194">
        <v>8903</v>
      </c>
      <c r="N194">
        <v>9040</v>
      </c>
      <c r="O194">
        <v>8805</v>
      </c>
      <c r="P194">
        <v>8232</v>
      </c>
      <c r="Q194">
        <v>8173</v>
      </c>
      <c r="R194">
        <v>8118</v>
      </c>
      <c r="S194">
        <v>7830</v>
      </c>
      <c r="T194">
        <v>7374</v>
      </c>
      <c r="U194">
        <v>7113</v>
      </c>
      <c r="V194">
        <v>7337</v>
      </c>
      <c r="W194">
        <v>7381</v>
      </c>
      <c r="X194">
        <v>6556</v>
      </c>
      <c r="Y194">
        <v>7249</v>
      </c>
      <c r="Z194">
        <v>7427</v>
      </c>
      <c r="AA194">
        <v>6959</v>
      </c>
      <c r="AB194">
        <v>7124</v>
      </c>
      <c r="AC194">
        <v>7083</v>
      </c>
      <c r="AD194">
        <v>7013</v>
      </c>
      <c r="AE194">
        <v>6962</v>
      </c>
      <c r="AF194">
        <v>7192</v>
      </c>
      <c r="AG194">
        <v>6909</v>
      </c>
      <c r="AH194">
        <v>7013</v>
      </c>
      <c r="AI194">
        <v>6985</v>
      </c>
      <c r="AJ194">
        <v>6704</v>
      </c>
      <c r="AK194">
        <v>6535</v>
      </c>
      <c r="AL194">
        <v>6566</v>
      </c>
      <c r="AM194">
        <v>6461</v>
      </c>
      <c r="AN194">
        <v>6254</v>
      </c>
      <c r="AO194">
        <v>6220</v>
      </c>
      <c r="AP194">
        <v>6194</v>
      </c>
      <c r="AQ194">
        <v>5900</v>
      </c>
      <c r="AR194">
        <v>5672</v>
      </c>
      <c r="AS194">
        <v>5647</v>
      </c>
      <c r="AT194">
        <v>5813</v>
      </c>
      <c r="AU194">
        <v>5639</v>
      </c>
      <c r="AV194">
        <v>5468</v>
      </c>
      <c r="AW194">
        <v>5370</v>
      </c>
      <c r="AX194">
        <v>5544</v>
      </c>
      <c r="AY194">
        <v>5651</v>
      </c>
      <c r="AZ194">
        <v>5638</v>
      </c>
      <c r="BA194">
        <v>5551</v>
      </c>
      <c r="BB194">
        <v>5624</v>
      </c>
      <c r="BC194">
        <v>5782</v>
      </c>
      <c r="BD194">
        <v>5055</v>
      </c>
      <c r="BE194">
        <v>4341</v>
      </c>
      <c r="BF194">
        <v>4050</v>
      </c>
      <c r="BG194">
        <v>4154</v>
      </c>
      <c r="BH194">
        <v>3993</v>
      </c>
      <c r="BI194">
        <v>4082</v>
      </c>
      <c r="BJ194">
        <v>3962</v>
      </c>
      <c r="BK194">
        <v>4016</v>
      </c>
      <c r="BL194">
        <v>3904</v>
      </c>
      <c r="BM194">
        <v>4289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2:125">
      <c r="B195" t="str">
        <f>"CMA US Equity"</f>
        <v>CMA US Equity</v>
      </c>
      <c r="C195" t="str">
        <f>"A0621"</f>
        <v>A0621</v>
      </c>
      <c r="D195" t="str">
        <f>"ARD_MORTGAGE_BANKING_REVENUE"</f>
        <v>ARD_MORTGAGE_BANKING_REVENUE</v>
      </c>
      <c r="E195" t="str">
        <f t="shared" si="24"/>
        <v>Dynamic</v>
      </c>
      <c r="F195" t="e">
        <f ca="1">_xll.BDH($B$195,$C$195,$B$183,$B$184,CONCATENATE("Per=",$B$181),"Dts=H","Dir=H",CONCATENATE("Points=",$B$182),"Sort=R","Days=A","Fill=B",CONCATENATE("FX=", $B$180) )</f>
        <v>#NAME?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2:125">
      <c r="B196" t="str">
        <f>"CMA US Equity"</f>
        <v>CMA US Equity</v>
      </c>
      <c r="C196" t="str">
        <f>"RR209"</f>
        <v>RR209</v>
      </c>
      <c r="D196" t="str">
        <f>"NET_REV"</f>
        <v>NET_REV</v>
      </c>
      <c r="E196" t="str">
        <f t="shared" si="24"/>
        <v>Dynamic</v>
      </c>
      <c r="F196" t="e">
        <f ca="1">_xll.BDH($B$196,$C$196,$B$183,$B$184,CONCATENATE("Per=",$B$181),"Dts=H","Dir=H",CONCATENATE("Points=",$B$182),"Sort=R","Days=A","Fill=B",CONCATENATE("FX=", $B$180),"cols=60;rows=1")</f>
        <v>#NAME?</v>
      </c>
      <c r="G196">
        <v>811</v>
      </c>
      <c r="H196">
        <v>824</v>
      </c>
      <c r="I196">
        <v>784</v>
      </c>
      <c r="J196">
        <v>782</v>
      </c>
      <c r="K196">
        <v>896</v>
      </c>
      <c r="L196">
        <v>924</v>
      </c>
      <c r="M196">
        <v>990</v>
      </c>
      <c r="N196">
        <v>1020</v>
      </c>
      <c r="O196">
        <v>985</v>
      </c>
      <c r="P196">
        <v>829</v>
      </c>
      <c r="Q196">
        <v>700</v>
      </c>
      <c r="R196">
        <v>750</v>
      </c>
      <c r="S196">
        <v>755</v>
      </c>
      <c r="T196">
        <v>749</v>
      </c>
      <c r="U196">
        <v>713</v>
      </c>
      <c r="V196">
        <v>734</v>
      </c>
      <c r="W196">
        <v>710</v>
      </c>
      <c r="X196">
        <v>718</v>
      </c>
      <c r="Y196">
        <v>750</v>
      </c>
      <c r="Z196">
        <v>810</v>
      </c>
      <c r="AA196">
        <v>842</v>
      </c>
      <c r="AB196">
        <v>853</v>
      </c>
      <c r="AC196">
        <v>844</v>
      </c>
      <c r="AD196">
        <v>864</v>
      </c>
      <c r="AE196">
        <v>833</v>
      </c>
      <c r="AF196">
        <v>838</v>
      </c>
      <c r="AG196">
        <v>793</v>
      </c>
      <c r="AH196">
        <v>830</v>
      </c>
      <c r="AI196">
        <v>821</v>
      </c>
      <c r="AJ196">
        <v>776</v>
      </c>
      <c r="AK196">
        <v>741</v>
      </c>
      <c r="AL196">
        <v>722</v>
      </c>
      <c r="AM196">
        <v>722</v>
      </c>
      <c r="AN196">
        <v>713</v>
      </c>
      <c r="AO196">
        <v>691</v>
      </c>
      <c r="AP196">
        <v>699</v>
      </c>
      <c r="AQ196">
        <v>682</v>
      </c>
      <c r="AR196">
        <v>679</v>
      </c>
      <c r="AS196">
        <v>665</v>
      </c>
      <c r="AT196">
        <v>640</v>
      </c>
      <c r="AU196">
        <v>629</v>
      </c>
      <c r="AV196">
        <v>636</v>
      </c>
      <c r="AW196">
        <v>618</v>
      </c>
      <c r="AX196">
        <v>649</v>
      </c>
      <c r="AY196">
        <v>640</v>
      </c>
      <c r="AZ196">
        <v>636</v>
      </c>
      <c r="BA196">
        <v>629</v>
      </c>
      <c r="BB196">
        <v>628</v>
      </c>
      <c r="BC196">
        <v>624</v>
      </c>
      <c r="BD196">
        <v>646</v>
      </c>
      <c r="BE196">
        <v>648</v>
      </c>
      <c r="BF196">
        <v>626</v>
      </c>
      <c r="BG196">
        <v>624</v>
      </c>
      <c r="BH196">
        <v>593</v>
      </c>
      <c r="BI196">
        <v>602</v>
      </c>
      <c r="BJ196">
        <v>620</v>
      </c>
      <c r="BK196">
        <v>590</v>
      </c>
      <c r="BL196">
        <v>616</v>
      </c>
      <c r="BM196">
        <v>609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2:125">
      <c r="B197" t="str">
        <f>"EWBC US Equity"</f>
        <v>EWBC US Equity</v>
      </c>
      <c r="C197" t="str">
        <f>"A0621"</f>
        <v>A0621</v>
      </c>
      <c r="D197" t="str">
        <f>"ARD_MORTGAGE_BANKING_REVENUE"</f>
        <v>ARD_MORTGAGE_BANKING_REVENUE</v>
      </c>
      <c r="E197" t="str">
        <f t="shared" si="24"/>
        <v>Dynamic</v>
      </c>
      <c r="F197" t="e">
        <f ca="1">_xll.BDH($B$197,$C$197,$B$183,$B$184,CONCATENATE("Per=",$B$181),"Dts=H","Dir=H",CONCATENATE("Points=",$B$182),"Sort=R","Days=A","Fill=B",CONCATENATE("FX=", $B$180) )</f>
        <v>#NAME?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2:125">
      <c r="B198" t="str">
        <f>"EWBC US Equity"</f>
        <v>EWBC US Equity</v>
      </c>
      <c r="C198" t="str">
        <f>"RR209"</f>
        <v>RR209</v>
      </c>
      <c r="D198" t="str">
        <f>"NET_REV"</f>
        <v>NET_REV</v>
      </c>
      <c r="E198" t="str">
        <f t="shared" si="24"/>
        <v>Dynamic</v>
      </c>
      <c r="F198" t="e">
        <f ca="1">_xll.BDH($B$198,$C$198,$B$183,$B$184,CONCATENATE("Per=",$B$181),"Dts=H","Dir=H",CONCATENATE("Points=",$B$182),"Sort=R","Days=A","Fill=B",CONCATENATE("FX=", $B$180),"cols=60;rows=1")</f>
        <v>#NAME?</v>
      </c>
      <c r="G198">
        <v>657.48299999999995</v>
      </c>
      <c r="H198">
        <v>637.90200000000004</v>
      </c>
      <c r="I198">
        <v>644.12699999999995</v>
      </c>
      <c r="J198">
        <v>654.73699999999997</v>
      </c>
      <c r="K198">
        <v>647.56500000000005</v>
      </c>
      <c r="L198">
        <v>645.37699999999995</v>
      </c>
      <c r="M198">
        <v>659.83900000000006</v>
      </c>
      <c r="N198">
        <v>670.43399999999997</v>
      </c>
      <c r="O198">
        <v>627.36099999999999</v>
      </c>
      <c r="P198">
        <v>551.39599999999996</v>
      </c>
      <c r="Q198">
        <v>495.35599999999999</v>
      </c>
      <c r="R198">
        <v>477.18599999999998</v>
      </c>
      <c r="S198">
        <v>468.815</v>
      </c>
      <c r="T198">
        <v>444.904</v>
      </c>
      <c r="U198">
        <v>426.56099999999998</v>
      </c>
      <c r="V198">
        <v>416.41300000000001</v>
      </c>
      <c r="W198">
        <v>373.71</v>
      </c>
      <c r="X198">
        <v>399.48200000000003</v>
      </c>
      <c r="Y198">
        <v>418.21300000000002</v>
      </c>
      <c r="Z198">
        <v>431.23200000000003</v>
      </c>
      <c r="AA198">
        <v>421.28100000000001</v>
      </c>
      <c r="AB198">
        <v>420.08499999999998</v>
      </c>
      <c r="AC198">
        <v>404.59199999999998</v>
      </c>
      <c r="AD198">
        <v>411.11099999999999</v>
      </c>
      <c r="AE198">
        <v>395.22199999999998</v>
      </c>
      <c r="AF198">
        <v>389.947</v>
      </c>
      <c r="AG198">
        <v>401.137</v>
      </c>
      <c r="AH198">
        <v>364.90699999999998</v>
      </c>
      <c r="AI198">
        <v>352.779</v>
      </c>
      <c r="AJ198">
        <v>337.33499999999998</v>
      </c>
      <c r="AK198">
        <v>388.14499999999998</v>
      </c>
      <c r="AL198">
        <v>309.91899999999998</v>
      </c>
      <c r="AM198">
        <v>303.48899999999998</v>
      </c>
      <c r="AN198">
        <v>297.84800000000001</v>
      </c>
      <c r="AO198">
        <v>292.71699999999998</v>
      </c>
      <c r="AP198">
        <v>291.42399999999998</v>
      </c>
      <c r="AQ198">
        <v>294.47000000000003</v>
      </c>
      <c r="AR198">
        <v>268.08499999999998</v>
      </c>
      <c r="AS198">
        <v>279.84300000000002</v>
      </c>
      <c r="AT198">
        <v>267.29300000000001</v>
      </c>
      <c r="AU198">
        <v>267.31599999999997</v>
      </c>
      <c r="AV198">
        <v>251.505</v>
      </c>
      <c r="AW198">
        <v>243.05</v>
      </c>
      <c r="AX198">
        <v>228.41399999999999</v>
      </c>
      <c r="AY198">
        <v>212.82900000000001</v>
      </c>
      <c r="AZ198">
        <v>215.29</v>
      </c>
      <c r="BA198">
        <v>207.19200000000001</v>
      </c>
      <c r="BB198">
        <v>226.49</v>
      </c>
      <c r="BC198">
        <v>224.65899999999999</v>
      </c>
      <c r="BD198">
        <v>221.50200000000001</v>
      </c>
      <c r="BE198">
        <v>240.65799999999999</v>
      </c>
      <c r="BF198">
        <v>230.011</v>
      </c>
      <c r="BG198">
        <v>224.23699999999999</v>
      </c>
      <c r="BH198">
        <v>239.827</v>
      </c>
      <c r="BI198">
        <v>219.875</v>
      </c>
      <c r="BJ198">
        <v>229.28299999999999</v>
      </c>
      <c r="BK198">
        <v>212.12</v>
      </c>
      <c r="BL198">
        <v>239.30799999999999</v>
      </c>
      <c r="BM198">
        <v>253.273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2:125">
      <c r="B199" t="str">
        <f>"FITB US Equity"</f>
        <v>FITB US Equity</v>
      </c>
      <c r="C199" t="str">
        <f>"A0621"</f>
        <v>A0621</v>
      </c>
      <c r="D199" t="str">
        <f>"ARD_MORTGAGE_BANKING_REVENUE"</f>
        <v>ARD_MORTGAGE_BANKING_REVENUE</v>
      </c>
      <c r="E199" t="str">
        <f t="shared" si="24"/>
        <v>Dynamic</v>
      </c>
      <c r="F199" t="e">
        <f ca="1">_xll.BDH($B$199,$C$199,$B$183,$B$184,CONCATENATE("Per=",$B$181),"Dts=H","Dir=H",CONCATENATE("Points=",$B$182),"Sort=R","Days=A","Fill=B",CONCATENATE("FX=", $B$180),"cols=60;rows=1")</f>
        <v>#NAME?</v>
      </c>
      <c r="G199">
        <v>50</v>
      </c>
      <c r="H199">
        <v>50</v>
      </c>
      <c r="I199">
        <v>54</v>
      </c>
      <c r="J199">
        <v>66</v>
      </c>
      <c r="K199">
        <v>57</v>
      </c>
      <c r="L199">
        <v>59</v>
      </c>
      <c r="M199">
        <v>69</v>
      </c>
      <c r="N199">
        <v>63</v>
      </c>
      <c r="O199">
        <v>69</v>
      </c>
      <c r="P199">
        <v>31</v>
      </c>
      <c r="Q199">
        <v>52</v>
      </c>
      <c r="R199">
        <v>35</v>
      </c>
      <c r="S199">
        <v>86</v>
      </c>
      <c r="T199">
        <v>64</v>
      </c>
      <c r="U199">
        <v>85</v>
      </c>
      <c r="V199">
        <v>25</v>
      </c>
      <c r="W199">
        <v>76</v>
      </c>
      <c r="X199">
        <v>99</v>
      </c>
      <c r="Y199">
        <v>120</v>
      </c>
      <c r="Z199">
        <v>73</v>
      </c>
      <c r="AA199">
        <v>95</v>
      </c>
      <c r="AB199">
        <v>63</v>
      </c>
      <c r="AC199">
        <v>56</v>
      </c>
      <c r="AD199">
        <v>54</v>
      </c>
      <c r="AE199">
        <v>49</v>
      </c>
      <c r="AF199">
        <v>53</v>
      </c>
      <c r="AG199">
        <v>56</v>
      </c>
      <c r="AH199">
        <v>54</v>
      </c>
      <c r="AI199">
        <v>63</v>
      </c>
      <c r="AJ199">
        <v>55</v>
      </c>
      <c r="AK199">
        <v>52</v>
      </c>
      <c r="AL199">
        <v>65</v>
      </c>
      <c r="AM199">
        <v>66</v>
      </c>
      <c r="AN199">
        <v>75</v>
      </c>
      <c r="AO199">
        <v>78</v>
      </c>
      <c r="AP199">
        <v>74</v>
      </c>
      <c r="AQ199">
        <v>71</v>
      </c>
      <c r="AR199">
        <v>117</v>
      </c>
      <c r="AS199">
        <v>86</v>
      </c>
      <c r="AT199">
        <v>61</v>
      </c>
      <c r="AU199">
        <v>61</v>
      </c>
      <c r="AV199">
        <v>78</v>
      </c>
      <c r="AW199">
        <v>109</v>
      </c>
      <c r="AX199">
        <v>126</v>
      </c>
      <c r="AY199">
        <v>121</v>
      </c>
      <c r="AZ199">
        <v>233</v>
      </c>
      <c r="BA199">
        <v>220</v>
      </c>
      <c r="BB199">
        <v>258</v>
      </c>
      <c r="BC199">
        <v>200</v>
      </c>
      <c r="BD199">
        <v>183</v>
      </c>
      <c r="BE199">
        <v>204</v>
      </c>
      <c r="BF199">
        <v>156</v>
      </c>
      <c r="BG199">
        <v>178</v>
      </c>
      <c r="BH199">
        <v>162</v>
      </c>
      <c r="BI199">
        <v>102</v>
      </c>
      <c r="BJ199">
        <v>149</v>
      </c>
      <c r="BK199">
        <v>232</v>
      </c>
      <c r="BL199">
        <v>114</v>
      </c>
      <c r="BM199">
        <v>152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2:125">
      <c r="B200" t="str">
        <f>"FITB US Equity"</f>
        <v>FITB US Equity</v>
      </c>
      <c r="C200" t="str">
        <f>"RR209"</f>
        <v>RR209</v>
      </c>
      <c r="D200" t="str">
        <f>"NET_REV"</f>
        <v>NET_REV</v>
      </c>
      <c r="E200" t="str">
        <f t="shared" si="24"/>
        <v>Dynamic</v>
      </c>
      <c r="F200" t="e">
        <f ca="1">_xll.BDH($B$200,$C$200,$B$183,$B$184,CONCATENATE("Per=",$B$181),"Dts=H","Dir=H",CONCATENATE("Points=",$B$182),"Sort=R","Days=A","Fill=B",CONCATENATE("FX=", $B$180),"cols=60;rows=1")</f>
        <v>#NAME?</v>
      </c>
      <c r="G200">
        <v>2132</v>
      </c>
      <c r="H200">
        <v>2082</v>
      </c>
      <c r="I200">
        <v>2094</v>
      </c>
      <c r="J200">
        <v>2160</v>
      </c>
      <c r="K200">
        <v>2153</v>
      </c>
      <c r="L200">
        <v>2183</v>
      </c>
      <c r="M200">
        <v>2213</v>
      </c>
      <c r="N200">
        <v>2312</v>
      </c>
      <c r="O200">
        <v>2170</v>
      </c>
      <c r="P200">
        <v>2015</v>
      </c>
      <c r="Q200">
        <v>1879</v>
      </c>
      <c r="R200">
        <v>1988</v>
      </c>
      <c r="S200">
        <v>2025</v>
      </c>
      <c r="T200">
        <v>1949</v>
      </c>
      <c r="U200">
        <v>1925</v>
      </c>
      <c r="V200">
        <v>1969</v>
      </c>
      <c r="W200">
        <v>1892</v>
      </c>
      <c r="X200">
        <v>1850</v>
      </c>
      <c r="Y200">
        <v>1900</v>
      </c>
      <c r="Z200">
        <v>2263</v>
      </c>
      <c r="AA200">
        <v>1982</v>
      </c>
      <c r="AB200">
        <v>1905</v>
      </c>
      <c r="AC200">
        <v>2183</v>
      </c>
      <c r="AD200">
        <v>1656</v>
      </c>
      <c r="AE200">
        <v>1606</v>
      </c>
      <c r="AF200">
        <v>1763</v>
      </c>
      <c r="AG200">
        <v>1905</v>
      </c>
      <c r="AH200">
        <v>1533</v>
      </c>
      <c r="AI200">
        <v>2531</v>
      </c>
      <c r="AJ200">
        <v>1503</v>
      </c>
      <c r="AK200">
        <v>1456</v>
      </c>
      <c r="AL200">
        <v>1523</v>
      </c>
      <c r="AM200">
        <v>1747</v>
      </c>
      <c r="AN200">
        <v>1501</v>
      </c>
      <c r="AO200">
        <v>1540</v>
      </c>
      <c r="AP200">
        <v>2003</v>
      </c>
      <c r="AQ200">
        <v>1614</v>
      </c>
      <c r="AR200">
        <v>1443</v>
      </c>
      <c r="AS200">
        <v>1477</v>
      </c>
      <c r="AT200">
        <v>1536</v>
      </c>
      <c r="AU200">
        <v>1423</v>
      </c>
      <c r="AV200">
        <v>1636</v>
      </c>
      <c r="AW200">
        <v>1457</v>
      </c>
      <c r="AX200">
        <v>1603</v>
      </c>
      <c r="AY200">
        <v>1614</v>
      </c>
      <c r="AZ200">
        <v>1940</v>
      </c>
      <c r="BA200">
        <v>1631</v>
      </c>
      <c r="BB200">
        <v>1779</v>
      </c>
      <c r="BC200">
        <v>1574</v>
      </c>
      <c r="BD200">
        <v>1573</v>
      </c>
      <c r="BE200">
        <v>1667</v>
      </c>
      <c r="BF200">
        <v>1466</v>
      </c>
      <c r="BG200">
        <v>1563</v>
      </c>
      <c r="BH200">
        <v>1520</v>
      </c>
      <c r="BI200">
        <v>1463</v>
      </c>
      <c r="BJ200">
        <v>1570</v>
      </c>
      <c r="BK200">
        <v>1739</v>
      </c>
      <c r="BL200">
        <v>1502</v>
      </c>
      <c r="BM200">
        <v>1524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2:125">
      <c r="B201" t="str">
        <f>"FCNCA US Equity"</f>
        <v>FCNCA US Equity</v>
      </c>
      <c r="C201" t="str">
        <f>"A0621"</f>
        <v>A0621</v>
      </c>
      <c r="D201" t="str">
        <f>"ARD_MORTGAGE_BANKING_REVENUE"</f>
        <v>ARD_MORTGAGE_BANKING_REVENUE</v>
      </c>
      <c r="E201" t="str">
        <f t="shared" si="24"/>
        <v>Dynamic</v>
      </c>
      <c r="F201" t="e">
        <f ca="1">_xll.BDH($B$201,$C$201,$B$183,$B$184,CONCATENATE("Per=",$B$181),"Dts=H","Dir=H",CONCATENATE("Points=",$B$182),"Sort=R","Days=A","Fill=B",CONCATENATE("FX=", $B$180) )</f>
        <v>#NAME?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2:125">
      <c r="B202" t="str">
        <f>"FCNCA US Equity"</f>
        <v>FCNCA US Equity</v>
      </c>
      <c r="C202" t="str">
        <f>"RR209"</f>
        <v>RR209</v>
      </c>
      <c r="D202" t="str">
        <f>"NET_REV"</f>
        <v>NET_REV</v>
      </c>
      <c r="E202" t="str">
        <f t="shared" si="24"/>
        <v>Dynamic</v>
      </c>
      <c r="F202" t="e">
        <f ca="1">_xll.BDH($B$202,$C$202,$B$183,$B$184,CONCATENATE("Per=",$B$181),"Dts=H","Dir=H",CONCATENATE("Points=",$B$182),"Sort=R","Days=A","Fill=B",CONCATENATE("FX=", $B$180),"cols=60;rows=1")</f>
        <v>#NAME?</v>
      </c>
      <c r="G202">
        <v>2441</v>
      </c>
      <c r="H202">
        <v>2456</v>
      </c>
      <c r="I202">
        <v>2448</v>
      </c>
      <c r="J202">
        <v>2452</v>
      </c>
      <c r="K202">
        <v>2595</v>
      </c>
      <c r="L202">
        <v>2615</v>
      </c>
      <c r="M202">
        <v>11109</v>
      </c>
      <c r="N202">
        <v>1229</v>
      </c>
      <c r="O202">
        <v>1226</v>
      </c>
      <c r="P202">
        <v>1119</v>
      </c>
      <c r="Q202">
        <v>1493</v>
      </c>
      <c r="R202">
        <v>471.661</v>
      </c>
      <c r="S202">
        <v>471</v>
      </c>
      <c r="T202">
        <v>468.88900000000001</v>
      </c>
      <c r="U202">
        <v>460.29</v>
      </c>
      <c r="V202">
        <v>485.48099999999999</v>
      </c>
      <c r="W202">
        <v>474.23099999999999</v>
      </c>
      <c r="X202">
        <v>502.79599999999999</v>
      </c>
      <c r="Y202">
        <v>453.81900000000002</v>
      </c>
      <c r="Z202">
        <v>431.517</v>
      </c>
      <c r="AA202">
        <v>437.35500000000002</v>
      </c>
      <c r="AB202">
        <v>434.22300000000001</v>
      </c>
      <c r="AC202">
        <v>424.13499999999999</v>
      </c>
      <c r="AD202">
        <v>402.88900000000001</v>
      </c>
      <c r="AE202">
        <v>401.89299999999997</v>
      </c>
      <c r="AF202">
        <v>397.14600000000002</v>
      </c>
      <c r="AG202">
        <v>407.12099999999998</v>
      </c>
      <c r="AH202">
        <v>414.91899999999998</v>
      </c>
      <c r="AI202">
        <v>398.56200000000001</v>
      </c>
      <c r="AJ202">
        <v>479.25</v>
      </c>
      <c r="AK202">
        <v>349.99</v>
      </c>
      <c r="AL202">
        <v>368.61500000000001</v>
      </c>
      <c r="AM202">
        <v>353.69</v>
      </c>
      <c r="AN202">
        <v>372.43900000000002</v>
      </c>
      <c r="AO202">
        <v>338.00200000000001</v>
      </c>
      <c r="AP202">
        <v>329.85399999999998</v>
      </c>
      <c r="AQ202">
        <v>349.12099999999998</v>
      </c>
      <c r="AR202">
        <v>342.1</v>
      </c>
      <c r="AS202">
        <v>370.91800000000001</v>
      </c>
      <c r="AT202">
        <v>352.95699999999999</v>
      </c>
      <c r="AU202">
        <v>244.821</v>
      </c>
      <c r="AV202">
        <v>231.08</v>
      </c>
      <c r="AW202">
        <v>223.245</v>
      </c>
      <c r="AX202">
        <v>244.821</v>
      </c>
      <c r="AY202">
        <v>251.101</v>
      </c>
      <c r="AZ202">
        <v>244.523</v>
      </c>
      <c r="BA202">
        <v>262.39499999999998</v>
      </c>
      <c r="BB202">
        <v>296.16699999999997</v>
      </c>
      <c r="BC202">
        <v>267.19799999999998</v>
      </c>
      <c r="BD202">
        <v>272.72800000000001</v>
      </c>
      <c r="BE202">
        <v>267.89499999999998</v>
      </c>
      <c r="BF202">
        <v>347.65600000000001</v>
      </c>
      <c r="BG202">
        <v>380.08600000000001</v>
      </c>
      <c r="BH202">
        <v>274.024</v>
      </c>
      <c r="BI202">
        <v>333.56700000000001</v>
      </c>
      <c r="BJ202">
        <v>280.07900000000001</v>
      </c>
      <c r="BK202">
        <v>279.90899999999999</v>
      </c>
      <c r="BL202">
        <v>257.48399999999998</v>
      </c>
      <c r="BM202">
        <v>362.98500000000001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2:125">
      <c r="B203" t="str">
        <f>"FLG US Equity"</f>
        <v>FLG US Equity</v>
      </c>
      <c r="C203" t="str">
        <f>"A0621"</f>
        <v>A0621</v>
      </c>
      <c r="D203" t="str">
        <f>"ARD_MORTGAGE_BANKING_REVENUE"</f>
        <v>ARD_MORTGAGE_BANKING_REVENUE</v>
      </c>
      <c r="E203" t="str">
        <f t="shared" si="24"/>
        <v>Dynamic</v>
      </c>
      <c r="F203" t="e">
        <f ca="1">_xll.BDH($B$203,$C$203,$B$183,$B$184,CONCATENATE("Per=",$B$181),"Dts=H","Dir=H",CONCATENATE("Points=",$B$182),"Sort=R","Days=A","Fill=B",CONCATENATE("FX=", $B$180),"cols=60;rows=1")</f>
        <v>#NAME?</v>
      </c>
      <c r="G203">
        <v>34</v>
      </c>
      <c r="H203">
        <v>19</v>
      </c>
      <c r="I203">
        <v>21</v>
      </c>
      <c r="K203">
        <v>23</v>
      </c>
      <c r="L203">
        <v>25</v>
      </c>
      <c r="M203">
        <v>22</v>
      </c>
      <c r="N203">
        <v>6</v>
      </c>
      <c r="V203">
        <v>0</v>
      </c>
      <c r="Z203">
        <v>0</v>
      </c>
      <c r="AB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1.486</v>
      </c>
      <c r="AJ203">
        <v>8.1959999999999997</v>
      </c>
      <c r="AK203">
        <v>9.7639999999999993</v>
      </c>
      <c r="AL203">
        <v>3.2610000000000001</v>
      </c>
      <c r="AM203">
        <v>12.925000000000001</v>
      </c>
      <c r="AN203">
        <v>6.9569999999999999</v>
      </c>
      <c r="AO203">
        <v>4.1379999999999999</v>
      </c>
      <c r="AP203">
        <v>12.265000000000001</v>
      </c>
      <c r="AQ203">
        <v>7.4740000000000002</v>
      </c>
      <c r="AR203">
        <v>15.968</v>
      </c>
      <c r="AS203">
        <v>18.405999999999999</v>
      </c>
      <c r="AT203">
        <v>16.446000000000002</v>
      </c>
      <c r="AU203">
        <v>16.606000000000002</v>
      </c>
      <c r="AV203">
        <v>15.291</v>
      </c>
      <c r="AW203">
        <v>14.61</v>
      </c>
      <c r="AX203">
        <v>12.753</v>
      </c>
      <c r="AY203">
        <v>16.204999999999998</v>
      </c>
      <c r="AZ203">
        <v>23.216000000000001</v>
      </c>
      <c r="BA203">
        <v>26.109000000000002</v>
      </c>
      <c r="BB203">
        <v>32.573999999999998</v>
      </c>
      <c r="BC203">
        <v>52.581000000000003</v>
      </c>
      <c r="BD203">
        <v>58.323</v>
      </c>
      <c r="BE203">
        <v>35.164999999999999</v>
      </c>
      <c r="BF203">
        <v>24.687999999999999</v>
      </c>
      <c r="BG203">
        <v>24.274000000000001</v>
      </c>
      <c r="BH203">
        <v>11.773999999999999</v>
      </c>
      <c r="BI203">
        <v>19.937999999999999</v>
      </c>
      <c r="BJ203">
        <v>40.386000000000003</v>
      </c>
      <c r="BK203">
        <v>76.465000000000003</v>
      </c>
      <c r="BL203">
        <v>39.499000000000002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2:125">
      <c r="B204" t="str">
        <f>"FLG US Equity"</f>
        <v>FLG US Equity</v>
      </c>
      <c r="C204" t="str">
        <f>"RR209"</f>
        <v>RR209</v>
      </c>
      <c r="D204" t="str">
        <f>"NET_REV"</f>
        <v>NET_REV</v>
      </c>
      <c r="E204" t="str">
        <f t="shared" si="24"/>
        <v>Dynamic</v>
      </c>
      <c r="F204" t="e">
        <f ca="1">_xll.BDH($B$204,$C$204,$B$183,$B$184,CONCATENATE("Per=",$B$181),"Dts=H","Dir=H",CONCATENATE("Points=",$B$182),"Sort=R","Days=A","Fill=B",CONCATENATE("FX=", $B$180),"cols=60;rows=1")</f>
        <v>#NAME?</v>
      </c>
      <c r="G204">
        <v>623</v>
      </c>
      <c r="H204">
        <v>671</v>
      </c>
      <c r="I204">
        <v>633</v>
      </c>
      <c r="J204">
        <v>867</v>
      </c>
      <c r="K204">
        <v>1042</v>
      </c>
      <c r="L204">
        <v>1202</v>
      </c>
      <c r="M204">
        <v>2653</v>
      </c>
      <c r="N204">
        <v>577</v>
      </c>
      <c r="O204">
        <v>343</v>
      </c>
      <c r="P204">
        <v>377</v>
      </c>
      <c r="Q204">
        <v>346</v>
      </c>
      <c r="R204">
        <v>338</v>
      </c>
      <c r="S204">
        <v>333</v>
      </c>
      <c r="T204">
        <v>347</v>
      </c>
      <c r="U204">
        <v>332.06599999999997</v>
      </c>
      <c r="V204">
        <v>322.95</v>
      </c>
      <c r="W204">
        <v>295.654</v>
      </c>
      <c r="X204">
        <v>281.25200000000001</v>
      </c>
      <c r="Y204">
        <v>261.36599999999999</v>
      </c>
      <c r="Z204">
        <v>259.93200000000002</v>
      </c>
      <c r="AA204">
        <v>260.30099999999999</v>
      </c>
      <c r="AB204">
        <v>255.28700000000001</v>
      </c>
      <c r="AC204">
        <v>266.11</v>
      </c>
      <c r="AD204">
        <v>270.19799999999998</v>
      </c>
      <c r="AE204">
        <v>272.428</v>
      </c>
      <c r="AF204">
        <v>286.661</v>
      </c>
      <c r="AG204">
        <v>293.15499999999997</v>
      </c>
      <c r="AH204">
        <v>296.31700000000001</v>
      </c>
      <c r="AI204">
        <v>385.27100000000002</v>
      </c>
      <c r="AJ204">
        <v>338.20600000000002</v>
      </c>
      <c r="AK204">
        <v>327.089</v>
      </c>
      <c r="AL204">
        <v>347.89400000000001</v>
      </c>
      <c r="AM204">
        <v>359.01799999999997</v>
      </c>
      <c r="AN204">
        <v>362.93900000000002</v>
      </c>
      <c r="AO204">
        <v>363.10300000000001</v>
      </c>
      <c r="AP204">
        <v>-390.161</v>
      </c>
      <c r="AQ204">
        <v>316.99900000000002</v>
      </c>
      <c r="AR204">
        <v>346.99799999999999</v>
      </c>
      <c r="AS204">
        <v>345.00200000000001</v>
      </c>
      <c r="AT204">
        <v>354.161</v>
      </c>
      <c r="AU204">
        <v>330.315</v>
      </c>
      <c r="AV204">
        <v>336.08499999999998</v>
      </c>
      <c r="AW204">
        <v>321.38499999999999</v>
      </c>
      <c r="AX204">
        <v>336.13499999999999</v>
      </c>
      <c r="AY204">
        <v>344.95499999999998</v>
      </c>
      <c r="AZ204">
        <v>353.62900000000002</v>
      </c>
      <c r="BA204">
        <v>350.72699999999998</v>
      </c>
      <c r="BB204">
        <v>345.49599999999998</v>
      </c>
      <c r="BC204">
        <v>366.60700000000003</v>
      </c>
      <c r="BD204">
        <v>394.86099999999999</v>
      </c>
      <c r="BE204">
        <v>350.41</v>
      </c>
      <c r="BF204">
        <v>360.01600000000002</v>
      </c>
      <c r="BG204">
        <v>353.036</v>
      </c>
      <c r="BH204">
        <v>360.83199999999999</v>
      </c>
      <c r="BI204">
        <v>361.86200000000002</v>
      </c>
      <c r="BJ204">
        <v>408.25</v>
      </c>
      <c r="BK204">
        <v>393.291</v>
      </c>
      <c r="BL204">
        <v>366.71699999999998</v>
      </c>
      <c r="BM204">
        <v>349.62799999999999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2:125">
      <c r="B205" t="str">
        <f>"HBAN US Equity"</f>
        <v>HBAN US Equity</v>
      </c>
      <c r="C205" t="str">
        <f>"A0621"</f>
        <v>A0621</v>
      </c>
      <c r="D205" t="str">
        <f>"ARD_MORTGAGE_BANKING_REVENUE"</f>
        <v>ARD_MORTGAGE_BANKING_REVENUE</v>
      </c>
      <c r="E205" t="str">
        <f t="shared" si="24"/>
        <v>Dynamic</v>
      </c>
      <c r="F205" t="e">
        <f ca="1">_xll.BDH($B$205,$C$205,$B$183,$B$184,CONCATENATE("Per=",$B$181),"Dts=H","Dir=H",CONCATENATE("Points=",$B$182),"Sort=R","Days=A","Fill=B",CONCATENATE("FX=", $B$180),"cols=60;rows=1")</f>
        <v>#NAME?</v>
      </c>
      <c r="G205">
        <v>38</v>
      </c>
      <c r="H205">
        <v>30</v>
      </c>
      <c r="I205">
        <v>31</v>
      </c>
      <c r="J205">
        <v>23</v>
      </c>
      <c r="K205">
        <v>27</v>
      </c>
      <c r="L205">
        <v>33</v>
      </c>
      <c r="M205">
        <v>26</v>
      </c>
      <c r="N205">
        <v>25</v>
      </c>
      <c r="O205">
        <v>26</v>
      </c>
      <c r="P205">
        <v>44</v>
      </c>
      <c r="Q205">
        <v>49</v>
      </c>
      <c r="R205">
        <v>61</v>
      </c>
      <c r="S205">
        <v>81</v>
      </c>
      <c r="T205">
        <v>67</v>
      </c>
      <c r="U205">
        <v>100</v>
      </c>
      <c r="V205">
        <v>90</v>
      </c>
      <c r="W205">
        <v>122</v>
      </c>
      <c r="X205">
        <v>96</v>
      </c>
      <c r="Y205">
        <v>58</v>
      </c>
      <c r="Z205">
        <v>58</v>
      </c>
      <c r="AA205">
        <v>54</v>
      </c>
      <c r="AB205">
        <v>34</v>
      </c>
      <c r="AC205">
        <v>21</v>
      </c>
      <c r="AD205">
        <v>23</v>
      </c>
      <c r="AE205">
        <v>31</v>
      </c>
      <c r="AF205">
        <v>28</v>
      </c>
      <c r="AG205">
        <v>26</v>
      </c>
      <c r="AH205">
        <v>33</v>
      </c>
      <c r="AI205">
        <v>34</v>
      </c>
      <c r="AJ205">
        <v>32</v>
      </c>
      <c r="AK205">
        <v>32</v>
      </c>
      <c r="AL205">
        <v>37.520000000000003</v>
      </c>
      <c r="AM205">
        <v>40.603000000000002</v>
      </c>
      <c r="AN205">
        <v>31.591000000000001</v>
      </c>
      <c r="AO205">
        <v>18.542999999999999</v>
      </c>
      <c r="AP205">
        <v>31.417999999999999</v>
      </c>
      <c r="AQ205">
        <v>18.956</v>
      </c>
      <c r="AR205">
        <v>38.518000000000001</v>
      </c>
      <c r="AS205">
        <v>22.960999999999999</v>
      </c>
      <c r="AT205">
        <v>14.03</v>
      </c>
      <c r="AU205">
        <v>25.050999999999998</v>
      </c>
      <c r="AV205">
        <v>22.716999999999999</v>
      </c>
      <c r="AW205">
        <v>23.088999999999999</v>
      </c>
      <c r="AX205">
        <v>24.327000000000002</v>
      </c>
      <c r="AY205">
        <v>23.620999999999999</v>
      </c>
      <c r="AZ205">
        <v>33.658999999999999</v>
      </c>
      <c r="BA205">
        <v>45.247999999999998</v>
      </c>
      <c r="BB205">
        <v>61.710999999999999</v>
      </c>
      <c r="BC205">
        <v>44.613999999999997</v>
      </c>
      <c r="BD205">
        <v>38.348999999999997</v>
      </c>
      <c r="BE205">
        <v>46.417999999999999</v>
      </c>
      <c r="BF205">
        <v>24.097999999999999</v>
      </c>
      <c r="BG205">
        <v>12.791</v>
      </c>
      <c r="BH205">
        <v>23.835000000000001</v>
      </c>
      <c r="BI205">
        <v>22.684000000000001</v>
      </c>
      <c r="BJ205">
        <v>53.168999999999997</v>
      </c>
      <c r="BK205">
        <v>52.045000000000002</v>
      </c>
      <c r="BL205">
        <v>45.53</v>
      </c>
      <c r="BM205">
        <v>25.038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2:125">
      <c r="B206" t="str">
        <f>"HBAN US Equity"</f>
        <v>HBAN US Equity</v>
      </c>
      <c r="C206" t="str">
        <f>"RR209"</f>
        <v>RR209</v>
      </c>
      <c r="D206" t="str">
        <f>"NET_REV"</f>
        <v>NET_REV</v>
      </c>
      <c r="E206" t="str">
        <f t="shared" si="24"/>
        <v>Dynamic</v>
      </c>
      <c r="F206" t="e">
        <f ca="1">_xll.BDH($B$206,$C$206,$B$183,$B$184,CONCATENATE("Per=",$B$181),"Dts=H","Dir=H",CONCATENATE("Points=",$B$182),"Sort=R","Days=A","Fill=B",CONCATENATE("FX=", $B$180),"cols=60;rows=1")</f>
        <v>#NAME?</v>
      </c>
      <c r="G206">
        <v>1874</v>
      </c>
      <c r="H206">
        <v>1803</v>
      </c>
      <c r="I206">
        <v>1754</v>
      </c>
      <c r="J206">
        <v>1721</v>
      </c>
      <c r="K206">
        <v>1877</v>
      </c>
      <c r="L206">
        <v>1841</v>
      </c>
      <c r="M206">
        <v>1921</v>
      </c>
      <c r="N206">
        <v>1961</v>
      </c>
      <c r="O206">
        <v>1902</v>
      </c>
      <c r="P206">
        <v>1746</v>
      </c>
      <c r="Q206">
        <v>1645</v>
      </c>
      <c r="R206">
        <v>1647</v>
      </c>
      <c r="S206">
        <v>1695</v>
      </c>
      <c r="T206">
        <v>1282</v>
      </c>
      <c r="U206">
        <v>1367</v>
      </c>
      <c r="V206">
        <v>1234</v>
      </c>
      <c r="W206">
        <v>1247</v>
      </c>
      <c r="X206">
        <v>1183</v>
      </c>
      <c r="Y206">
        <v>1151</v>
      </c>
      <c r="Z206">
        <v>1152</v>
      </c>
      <c r="AA206">
        <v>1188</v>
      </c>
      <c r="AB206">
        <v>1186</v>
      </c>
      <c r="AC206">
        <v>1141</v>
      </c>
      <c r="AD206">
        <v>1162</v>
      </c>
      <c r="AE206">
        <v>1144</v>
      </c>
      <c r="AF206">
        <v>1120</v>
      </c>
      <c r="AG206">
        <v>1084</v>
      </c>
      <c r="AH206">
        <v>1110</v>
      </c>
      <c r="AI206">
        <v>1088</v>
      </c>
      <c r="AJ206">
        <v>1070</v>
      </c>
      <c r="AK206">
        <v>1042</v>
      </c>
      <c r="AL206">
        <v>1069.318</v>
      </c>
      <c r="AM206">
        <v>927.80499999999995</v>
      </c>
      <c r="AN206">
        <v>776.99300000000005</v>
      </c>
      <c r="AO206">
        <v>744.93299999999999</v>
      </c>
      <c r="AP206">
        <v>769.12599999999998</v>
      </c>
      <c r="AQ206">
        <v>748.57399999999996</v>
      </c>
      <c r="AR206">
        <v>772.45899999999995</v>
      </c>
      <c r="AS206">
        <v>699.30799999999999</v>
      </c>
      <c r="AT206">
        <v>706.53</v>
      </c>
      <c r="AU206">
        <v>713.68399999999997</v>
      </c>
      <c r="AV206">
        <v>710.11500000000001</v>
      </c>
      <c r="AW206">
        <v>685.99099999999999</v>
      </c>
      <c r="AX206">
        <v>680.54100000000005</v>
      </c>
      <c r="AY206">
        <v>678.61900000000003</v>
      </c>
      <c r="AZ206">
        <v>676.85599999999999</v>
      </c>
      <c r="BA206">
        <v>680.78800000000001</v>
      </c>
      <c r="BB206">
        <v>731.70600000000002</v>
      </c>
      <c r="BC206">
        <v>691.36500000000001</v>
      </c>
      <c r="BD206">
        <v>682.78099999999995</v>
      </c>
      <c r="BE206">
        <v>702.529</v>
      </c>
      <c r="BF206">
        <v>644.37699999999995</v>
      </c>
      <c r="BG206">
        <v>665.03700000000003</v>
      </c>
      <c r="BH206">
        <v>659.10400000000004</v>
      </c>
      <c r="BI206">
        <v>641.27499999999998</v>
      </c>
      <c r="BJ206">
        <v>679.51400000000001</v>
      </c>
      <c r="BK206">
        <v>677.10500000000002</v>
      </c>
      <c r="BL206">
        <v>669.29899999999998</v>
      </c>
      <c r="BM206">
        <v>634.745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2:125">
      <c r="B207" t="str">
        <f>"JPM US Equity"</f>
        <v>JPM US Equity</v>
      </c>
      <c r="C207" t="str">
        <f>"A0621"</f>
        <v>A0621</v>
      </c>
      <c r="D207" t="str">
        <f>"ARD_MORTGAGE_BANKING_REVENUE"</f>
        <v>ARD_MORTGAGE_BANKING_REVENUE</v>
      </c>
      <c r="E207" t="str">
        <f t="shared" si="24"/>
        <v>Dynamic</v>
      </c>
      <c r="F207" t="e">
        <f ca="1">_xll.BDH($B$207,$C$207,$B$183,$B$184,CONCATENATE("Per=",$B$181),"Dts=H","Dir=H",CONCATENATE("Points=",$B$182),"Sort=R","Days=A","Fill=B",CONCATENATE("FX=", $B$180),"cols=60;rows=1")</f>
        <v>#NAME?</v>
      </c>
      <c r="G207">
        <v>402</v>
      </c>
      <c r="H207">
        <v>348</v>
      </c>
      <c r="I207">
        <v>275</v>
      </c>
      <c r="J207">
        <v>263</v>
      </c>
      <c r="K207">
        <v>414</v>
      </c>
      <c r="L207">
        <v>278</v>
      </c>
      <c r="M207">
        <v>221</v>
      </c>
      <c r="N207">
        <v>98</v>
      </c>
      <c r="O207">
        <v>314</v>
      </c>
      <c r="P207">
        <v>378</v>
      </c>
      <c r="Q207">
        <v>460</v>
      </c>
      <c r="R207">
        <v>315</v>
      </c>
      <c r="S207">
        <v>600</v>
      </c>
      <c r="T207">
        <v>551</v>
      </c>
      <c r="U207">
        <v>704</v>
      </c>
      <c r="V207">
        <v>767</v>
      </c>
      <c r="W207">
        <v>1087</v>
      </c>
      <c r="X207">
        <v>917</v>
      </c>
      <c r="Y207">
        <v>320</v>
      </c>
      <c r="AA207">
        <v>887</v>
      </c>
      <c r="AB207">
        <v>279</v>
      </c>
      <c r="AC207">
        <v>396</v>
      </c>
      <c r="AD207">
        <v>203</v>
      </c>
      <c r="AE207">
        <v>262</v>
      </c>
      <c r="AF207">
        <v>324</v>
      </c>
      <c r="AG207">
        <v>465</v>
      </c>
      <c r="AH207">
        <v>377</v>
      </c>
      <c r="AI207">
        <v>429</v>
      </c>
      <c r="AJ207">
        <v>404</v>
      </c>
      <c r="AK207">
        <v>406</v>
      </c>
      <c r="AL207">
        <v>511</v>
      </c>
      <c r="AM207">
        <v>624</v>
      </c>
      <c r="AN207">
        <v>689</v>
      </c>
      <c r="AO207">
        <v>667</v>
      </c>
      <c r="AP207">
        <v>556</v>
      </c>
      <c r="AQ207">
        <v>469</v>
      </c>
      <c r="AR207">
        <v>783</v>
      </c>
      <c r="AS207">
        <v>705</v>
      </c>
      <c r="AT207">
        <v>855</v>
      </c>
      <c r="AU207">
        <v>903</v>
      </c>
      <c r="AV207">
        <v>1291</v>
      </c>
      <c r="AW207">
        <v>514</v>
      </c>
      <c r="AX207">
        <v>1089</v>
      </c>
      <c r="AY207">
        <v>841</v>
      </c>
      <c r="AZ207">
        <v>1823</v>
      </c>
      <c r="BA207">
        <v>1452</v>
      </c>
      <c r="BB207">
        <v>2035</v>
      </c>
      <c r="BC207">
        <v>2377</v>
      </c>
      <c r="BD207">
        <v>2265</v>
      </c>
      <c r="BE207">
        <v>2010</v>
      </c>
      <c r="BF207">
        <v>725</v>
      </c>
      <c r="BG207">
        <v>1380</v>
      </c>
      <c r="BH207">
        <v>1103</v>
      </c>
      <c r="BI207">
        <v>-487</v>
      </c>
      <c r="BJ207">
        <v>1617</v>
      </c>
      <c r="BK207">
        <v>707</v>
      </c>
      <c r="BL207">
        <v>888</v>
      </c>
      <c r="BM207">
        <v>658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2:125">
      <c r="B208" t="str">
        <f>"JPM US Equity"</f>
        <v>JPM US Equity</v>
      </c>
      <c r="C208" t="str">
        <f>"RR209"</f>
        <v>RR209</v>
      </c>
      <c r="D208" t="str">
        <f>"NET_REV"</f>
        <v>NET_REV</v>
      </c>
      <c r="E208" t="str">
        <f t="shared" si="24"/>
        <v>Dynamic</v>
      </c>
      <c r="F208" t="e">
        <f ca="1">_xll.BDH($B$208,$C$208,$B$183,$B$184,CONCATENATE("Per=",$B$181),"Dts=H","Dir=H",CONCATENATE("Points=",$B$182),"Sort=R","Days=A","Fill=B",CONCATENATE("FX=", $B$180),"cols=60;rows=1")</f>
        <v>#NAME?</v>
      </c>
      <c r="G208">
        <v>42654</v>
      </c>
      <c r="H208">
        <v>50200</v>
      </c>
      <c r="I208">
        <v>41934</v>
      </c>
      <c r="J208">
        <v>38574</v>
      </c>
      <c r="K208">
        <v>39874</v>
      </c>
      <c r="L208">
        <v>41307</v>
      </c>
      <c r="M208">
        <v>38349</v>
      </c>
      <c r="N208">
        <v>34547</v>
      </c>
      <c r="O208">
        <v>32716</v>
      </c>
      <c r="P208">
        <v>30715</v>
      </c>
      <c r="Q208">
        <v>30717</v>
      </c>
      <c r="R208">
        <v>29257</v>
      </c>
      <c r="S208">
        <v>29647</v>
      </c>
      <c r="T208">
        <v>30479</v>
      </c>
      <c r="U208">
        <v>32266</v>
      </c>
      <c r="V208">
        <v>29335</v>
      </c>
      <c r="W208">
        <v>29255</v>
      </c>
      <c r="X208">
        <v>33075</v>
      </c>
      <c r="Y208">
        <v>28286</v>
      </c>
      <c r="Z208">
        <v>28424</v>
      </c>
      <c r="AA208">
        <v>29291</v>
      </c>
      <c r="AB208">
        <v>28747</v>
      </c>
      <c r="AC208">
        <v>29123</v>
      </c>
      <c r="AD208">
        <v>26109</v>
      </c>
      <c r="AE208">
        <v>27260</v>
      </c>
      <c r="AF208">
        <v>27753</v>
      </c>
      <c r="AG208">
        <v>27907</v>
      </c>
      <c r="AH208">
        <v>24457</v>
      </c>
      <c r="AI208">
        <v>25578</v>
      </c>
      <c r="AJ208">
        <v>25731</v>
      </c>
      <c r="AK208">
        <v>24939</v>
      </c>
      <c r="AL208">
        <v>23376</v>
      </c>
      <c r="AM208">
        <v>24673</v>
      </c>
      <c r="AN208">
        <v>24380</v>
      </c>
      <c r="AO208">
        <v>23239</v>
      </c>
      <c r="AP208">
        <v>22885</v>
      </c>
      <c r="AQ208">
        <v>22780</v>
      </c>
      <c r="AR208">
        <v>23812</v>
      </c>
      <c r="AS208">
        <v>24066</v>
      </c>
      <c r="AT208">
        <v>22750</v>
      </c>
      <c r="AU208">
        <v>24469</v>
      </c>
      <c r="AV208">
        <v>24678</v>
      </c>
      <c r="AW208">
        <v>23215</v>
      </c>
      <c r="AX208">
        <v>23156</v>
      </c>
      <c r="AY208">
        <v>23117</v>
      </c>
      <c r="AZ208">
        <v>25211</v>
      </c>
      <c r="BA208">
        <v>25122</v>
      </c>
      <c r="BB208">
        <v>23653</v>
      </c>
      <c r="BC208">
        <v>25146</v>
      </c>
      <c r="BD208">
        <v>22180</v>
      </c>
      <c r="BE208">
        <v>26052</v>
      </c>
      <c r="BF208">
        <v>21471</v>
      </c>
      <c r="BG208">
        <v>23763</v>
      </c>
      <c r="BH208">
        <v>26779</v>
      </c>
      <c r="BI208">
        <v>25221</v>
      </c>
      <c r="BJ208">
        <v>26098</v>
      </c>
      <c r="BK208">
        <v>23824</v>
      </c>
      <c r="BL208">
        <v>25101</v>
      </c>
      <c r="BM208">
        <v>27671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2:125">
      <c r="B209" t="str">
        <f>"KEY US Equity"</f>
        <v>KEY US Equity</v>
      </c>
      <c r="C209" t="str">
        <f>"A0621"</f>
        <v>A0621</v>
      </c>
      <c r="D209" t="str">
        <f>"ARD_MORTGAGE_BANKING_REVENUE"</f>
        <v>ARD_MORTGAGE_BANKING_REVENUE</v>
      </c>
      <c r="E209" t="str">
        <f t="shared" si="24"/>
        <v>Dynamic</v>
      </c>
      <c r="F209" t="e">
        <f ca="1">_xll.BDH($B$209,$C$209,$B$183,$B$184,CONCATENATE("Per=",$B$181),"Dts=H","Dir=H",CONCATENATE("Points=",$B$182),"Sort=R","Days=A","Fill=B",CONCATENATE("FX=", $B$180),"cols=60;rows=1")</f>
        <v>#NAME?</v>
      </c>
      <c r="G209">
        <v>12</v>
      </c>
      <c r="H209">
        <v>16</v>
      </c>
      <c r="I209">
        <v>14</v>
      </c>
      <c r="J209">
        <v>11</v>
      </c>
      <c r="K209">
        <v>15</v>
      </c>
      <c r="L209">
        <v>14</v>
      </c>
      <c r="M209">
        <v>11</v>
      </c>
      <c r="N209">
        <v>9</v>
      </c>
      <c r="O209">
        <v>14</v>
      </c>
      <c r="P209">
        <v>14</v>
      </c>
      <c r="Q209">
        <v>21</v>
      </c>
      <c r="R209">
        <v>25</v>
      </c>
      <c r="S209">
        <v>33</v>
      </c>
      <c r="T209">
        <v>26</v>
      </c>
      <c r="U209">
        <v>47</v>
      </c>
      <c r="V209">
        <v>43</v>
      </c>
      <c r="W209">
        <v>51</v>
      </c>
      <c r="X209">
        <v>62</v>
      </c>
      <c r="Y209">
        <v>20</v>
      </c>
      <c r="Z209">
        <v>21</v>
      </c>
      <c r="AA209">
        <v>16</v>
      </c>
      <c r="AB209">
        <v>15</v>
      </c>
      <c r="AC209">
        <v>8</v>
      </c>
      <c r="AE209">
        <v>9</v>
      </c>
      <c r="AF209">
        <v>7</v>
      </c>
      <c r="AG209">
        <v>7</v>
      </c>
      <c r="AH209">
        <v>7</v>
      </c>
      <c r="AI209">
        <v>7</v>
      </c>
      <c r="AJ209">
        <v>6</v>
      </c>
      <c r="AK209">
        <v>6</v>
      </c>
      <c r="AL209">
        <v>6</v>
      </c>
      <c r="AM209">
        <v>6</v>
      </c>
      <c r="AN209">
        <v>3</v>
      </c>
      <c r="AO209">
        <v>2</v>
      </c>
      <c r="AP209">
        <v>2</v>
      </c>
      <c r="AQ209">
        <v>3</v>
      </c>
      <c r="AR209">
        <v>4</v>
      </c>
      <c r="AS209">
        <v>3</v>
      </c>
      <c r="AT209">
        <v>3</v>
      </c>
      <c r="AU209">
        <v>3</v>
      </c>
      <c r="AV209">
        <v>2</v>
      </c>
      <c r="AW209">
        <v>2</v>
      </c>
      <c r="AX209">
        <v>3</v>
      </c>
      <c r="AY209">
        <v>3</v>
      </c>
      <c r="AZ209">
        <v>6</v>
      </c>
      <c r="BA209">
        <v>7</v>
      </c>
      <c r="BB209">
        <v>11</v>
      </c>
      <c r="BC209">
        <v>11</v>
      </c>
      <c r="BD209">
        <v>9</v>
      </c>
      <c r="BE209">
        <v>9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2:125">
      <c r="B210" t="str">
        <f>"KEY US Equity"</f>
        <v>KEY US Equity</v>
      </c>
      <c r="C210" t="str">
        <f>"RR209"</f>
        <v>RR209</v>
      </c>
      <c r="D210" t="str">
        <f>"NET_REV"</f>
        <v>NET_REV</v>
      </c>
      <c r="E210" t="str">
        <f t="shared" si="24"/>
        <v>Dynamic</v>
      </c>
      <c r="F210" t="e">
        <f ca="1">_xll.BDH($B$210,$C$210,$B$183,$B$184,CONCATENATE("Per=",$B$181),"Dts=H","Dir=H",CONCATENATE("Points=",$B$182),"Sort=R","Days=A","Fill=B",CONCATENATE("FX=", $B$180),"cols=60;rows=1")</f>
        <v>#NAME?</v>
      </c>
      <c r="G210">
        <v>683</v>
      </c>
      <c r="H210">
        <v>1514</v>
      </c>
      <c r="I210">
        <v>1522</v>
      </c>
      <c r="J210">
        <v>1531</v>
      </c>
      <c r="K210">
        <v>1558</v>
      </c>
      <c r="L210">
        <v>1587</v>
      </c>
      <c r="M210">
        <v>1707</v>
      </c>
      <c r="N210">
        <v>1891</v>
      </c>
      <c r="O210">
        <v>1879</v>
      </c>
      <c r="P210">
        <v>1785</v>
      </c>
      <c r="Q210">
        <v>1690</v>
      </c>
      <c r="R210">
        <v>1942</v>
      </c>
      <c r="S210">
        <v>1813</v>
      </c>
      <c r="T210">
        <v>1767</v>
      </c>
      <c r="U210">
        <v>1743</v>
      </c>
      <c r="V210">
        <v>1837</v>
      </c>
      <c r="W210">
        <v>1681</v>
      </c>
      <c r="X210">
        <v>1710</v>
      </c>
      <c r="Y210">
        <v>1458</v>
      </c>
      <c r="Z210">
        <v>1630</v>
      </c>
      <c r="AA210">
        <v>1622</v>
      </c>
      <c r="AB210">
        <v>1603</v>
      </c>
      <c r="AC210">
        <v>1513</v>
      </c>
      <c r="AD210">
        <v>1645</v>
      </c>
      <c r="AE210">
        <v>1595</v>
      </c>
      <c r="AF210">
        <v>1639</v>
      </c>
      <c r="AG210">
        <v>1545</v>
      </c>
      <c r="AH210">
        <v>1594</v>
      </c>
      <c r="AI210">
        <v>1540</v>
      </c>
      <c r="AJ210">
        <v>1626</v>
      </c>
      <c r="AK210">
        <v>1495</v>
      </c>
      <c r="AL210">
        <v>1556</v>
      </c>
      <c r="AM210">
        <v>1329</v>
      </c>
      <c r="AN210">
        <v>1070</v>
      </c>
      <c r="AO210">
        <v>1035</v>
      </c>
      <c r="AP210">
        <v>1087</v>
      </c>
      <c r="AQ210">
        <v>1061</v>
      </c>
      <c r="AR210">
        <v>1072</v>
      </c>
      <c r="AS210">
        <v>1008</v>
      </c>
      <c r="AT210">
        <v>1072</v>
      </c>
      <c r="AU210">
        <v>992</v>
      </c>
      <c r="AV210">
        <v>1028</v>
      </c>
      <c r="AW210">
        <v>998</v>
      </c>
      <c r="AX210">
        <v>1036</v>
      </c>
      <c r="AY210">
        <v>1037</v>
      </c>
      <c r="AZ210">
        <v>1010</v>
      </c>
      <c r="BA210">
        <v>1008</v>
      </c>
      <c r="BB210">
        <v>1040</v>
      </c>
      <c r="BC210">
        <v>1090</v>
      </c>
      <c r="BD210">
        <v>995</v>
      </c>
      <c r="BE210">
        <v>995</v>
      </c>
      <c r="BF210">
        <v>971</v>
      </c>
      <c r="BG210">
        <v>1032</v>
      </c>
      <c r="BH210">
        <v>1018</v>
      </c>
      <c r="BI210">
        <v>1054</v>
      </c>
      <c r="BJ210">
        <v>1155</v>
      </c>
      <c r="BK210">
        <v>1126</v>
      </c>
      <c r="BL210">
        <v>1109</v>
      </c>
      <c r="BM210">
        <v>1075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2:125">
      <c r="B211" t="str">
        <f>"MTB US Equity"</f>
        <v>MTB US Equity</v>
      </c>
      <c r="C211" t="str">
        <f>"A0621"</f>
        <v>A0621</v>
      </c>
      <c r="D211" t="str">
        <f>"ARD_MORTGAGE_BANKING_REVENUE"</f>
        <v>ARD_MORTGAGE_BANKING_REVENUE</v>
      </c>
      <c r="E211" t="str">
        <f t="shared" si="24"/>
        <v>Dynamic</v>
      </c>
      <c r="F211" t="e">
        <f ca="1">_xll.BDH($B$211,$C$211,$B$183,$B$184,CONCATENATE("Per=",$B$181),"Dts=H","Dir=H",CONCATENATE("Points=",$B$182),"Sort=R","Days=A","Fill=B",CONCATENATE("FX=", $B$180),"cols=60;rows=1")</f>
        <v>#NAME?</v>
      </c>
      <c r="G211">
        <v>109</v>
      </c>
      <c r="H211">
        <v>106</v>
      </c>
      <c r="I211">
        <v>104</v>
      </c>
      <c r="J211">
        <v>112</v>
      </c>
      <c r="K211">
        <v>104.47799999999999</v>
      </c>
      <c r="L211">
        <v>107.11199999999999</v>
      </c>
      <c r="M211">
        <v>84.984999999999999</v>
      </c>
      <c r="N211">
        <v>81.521000000000001</v>
      </c>
      <c r="O211">
        <v>83.040999999999997</v>
      </c>
      <c r="P211">
        <v>82.926000000000002</v>
      </c>
      <c r="Q211">
        <v>109.148</v>
      </c>
      <c r="R211">
        <v>139.267</v>
      </c>
      <c r="S211">
        <v>159.995</v>
      </c>
      <c r="T211">
        <v>133.31299999999999</v>
      </c>
      <c r="U211">
        <v>138.75399999999999</v>
      </c>
      <c r="V211">
        <v>140.441</v>
      </c>
      <c r="W211">
        <v>153.267</v>
      </c>
      <c r="X211">
        <v>145.024</v>
      </c>
      <c r="Y211">
        <v>127.90900000000001</v>
      </c>
      <c r="Z211">
        <v>118.134</v>
      </c>
      <c r="AA211">
        <v>137.00399999999999</v>
      </c>
      <c r="AB211">
        <v>107.321</v>
      </c>
      <c r="AC211">
        <v>95.311000000000007</v>
      </c>
      <c r="AD211">
        <v>92.228999999999999</v>
      </c>
      <c r="AE211">
        <v>88.408000000000001</v>
      </c>
      <c r="AF211">
        <v>92.498999999999995</v>
      </c>
      <c r="AG211">
        <v>87.305999999999997</v>
      </c>
      <c r="AH211">
        <v>96.234999999999999</v>
      </c>
      <c r="AI211">
        <v>96.736999999999995</v>
      </c>
      <c r="AJ211">
        <v>86.162999999999997</v>
      </c>
      <c r="AK211">
        <v>84.691999999999993</v>
      </c>
      <c r="AL211">
        <v>98.504000000000005</v>
      </c>
      <c r="AM211">
        <v>103.747</v>
      </c>
      <c r="AN211">
        <v>89.382999999999996</v>
      </c>
      <c r="AO211">
        <v>82.063000000000002</v>
      </c>
      <c r="AP211">
        <v>87.5</v>
      </c>
      <c r="AQ211">
        <v>84.034999999999997</v>
      </c>
      <c r="AR211">
        <v>102.602</v>
      </c>
      <c r="AS211">
        <v>101.601</v>
      </c>
      <c r="AT211">
        <v>93.674999999999997</v>
      </c>
      <c r="AU211">
        <v>93.531999999999996</v>
      </c>
      <c r="AV211">
        <v>95.656000000000006</v>
      </c>
      <c r="AW211">
        <v>80.049000000000007</v>
      </c>
      <c r="AX211">
        <v>82.168999999999997</v>
      </c>
      <c r="AY211">
        <v>64.730999999999995</v>
      </c>
      <c r="AZ211">
        <v>91.262</v>
      </c>
      <c r="BA211">
        <v>93.102999999999994</v>
      </c>
      <c r="BB211">
        <v>116.54600000000001</v>
      </c>
      <c r="BC211">
        <v>106.812</v>
      </c>
      <c r="BD211">
        <v>69.513999999999996</v>
      </c>
      <c r="BE211">
        <v>56.192</v>
      </c>
      <c r="BF211">
        <v>40.573</v>
      </c>
      <c r="BG211">
        <v>38.140999999999998</v>
      </c>
      <c r="BH211">
        <v>42.151000000000003</v>
      </c>
      <c r="BI211">
        <v>45.155999999999999</v>
      </c>
      <c r="BJ211">
        <v>35.012999999999998</v>
      </c>
      <c r="BK211">
        <v>61.052</v>
      </c>
      <c r="BL211">
        <v>47.084000000000003</v>
      </c>
      <c r="BM211">
        <v>41.475999999999999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2:125">
      <c r="B212" t="str">
        <f>"MTB US Equity"</f>
        <v>MTB US Equity</v>
      </c>
      <c r="C212" t="str">
        <f>"RR209"</f>
        <v>RR209</v>
      </c>
      <c r="D212" t="str">
        <f>"NET_REV"</f>
        <v>NET_REV</v>
      </c>
      <c r="E212" t="str">
        <f t="shared" si="24"/>
        <v>Dynamic</v>
      </c>
      <c r="F212" t="e">
        <f ca="1">_xll.BDH($B$212,$C$212,$B$183,$B$184,CONCATENATE("Per=",$B$181),"Dts=H","Dir=H",CONCATENATE("Points=",$B$182),"Sort=R","Days=A","Fill=B",CONCATENATE("FX=", $B$180),"cols=60;rows=1")</f>
        <v>#NAME?</v>
      </c>
      <c r="G212">
        <v>2332</v>
      </c>
      <c r="H212">
        <v>2302</v>
      </c>
      <c r="I212">
        <v>2260</v>
      </c>
      <c r="J212">
        <v>2300</v>
      </c>
      <c r="K212">
        <v>2334.9690000000001</v>
      </c>
      <c r="L212">
        <v>2602.3000000000002</v>
      </c>
      <c r="M212">
        <v>2405.3969999999999</v>
      </c>
      <c r="N212">
        <v>2508.9110000000001</v>
      </c>
      <c r="O212">
        <v>2241.77</v>
      </c>
      <c r="P212">
        <v>1982.817</v>
      </c>
      <c r="Q212">
        <v>1445.0609999999999</v>
      </c>
      <c r="R212">
        <v>1512.43</v>
      </c>
      <c r="S212">
        <v>1536.376</v>
      </c>
      <c r="T212">
        <v>1455.973</v>
      </c>
      <c r="U212">
        <v>1486.9929999999999</v>
      </c>
      <c r="V212">
        <v>1540.53</v>
      </c>
      <c r="W212">
        <v>1463.6559999999999</v>
      </c>
      <c r="X212">
        <v>1444.41</v>
      </c>
      <c r="Y212">
        <v>1506.165</v>
      </c>
      <c r="Z212">
        <v>1529.873</v>
      </c>
      <c r="AA212">
        <v>1557.6690000000001</v>
      </c>
      <c r="AB212">
        <v>1553.576</v>
      </c>
      <c r="AC212">
        <v>1550.825</v>
      </c>
      <c r="AD212">
        <v>1539.556</v>
      </c>
      <c r="AE212">
        <v>1488.3320000000001</v>
      </c>
      <c r="AF212">
        <v>1466.201</v>
      </c>
      <c r="AG212">
        <v>1434.213</v>
      </c>
      <c r="AH212">
        <v>1455.5029999999999</v>
      </c>
      <c r="AI212">
        <v>1416.5630000000001</v>
      </c>
      <c r="AJ212">
        <v>1399.0160000000001</v>
      </c>
      <c r="AK212">
        <v>1361.105</v>
      </c>
      <c r="AL212">
        <v>1341.223</v>
      </c>
      <c r="AM212">
        <v>1349.69</v>
      </c>
      <c r="AN212">
        <v>1312.0730000000001</v>
      </c>
      <c r="AO212">
        <v>1292.8969999999999</v>
      </c>
      <c r="AP212">
        <v>1255.152</v>
      </c>
      <c r="AQ212">
        <v>1132.5260000000001</v>
      </c>
      <c r="AR212">
        <v>1180.155</v>
      </c>
      <c r="AS212">
        <v>1099.7909999999999</v>
      </c>
      <c r="AT212">
        <v>1133.4829999999999</v>
      </c>
      <c r="AU212">
        <v>1120.17</v>
      </c>
      <c r="AV212">
        <v>1125.5260000000001</v>
      </c>
      <c r="AW212">
        <v>1076.54</v>
      </c>
      <c r="AX212">
        <v>1112.73</v>
      </c>
      <c r="AY212">
        <v>1150.4960000000001</v>
      </c>
      <c r="AZ212">
        <v>1186.2760000000001</v>
      </c>
      <c r="BA212">
        <v>1088.932</v>
      </c>
      <c r="BB212">
        <v>1120.586</v>
      </c>
      <c r="BC212">
        <v>1108.4549999999999</v>
      </c>
      <c r="BD212">
        <v>1039.633</v>
      </c>
      <c r="BE212">
        <v>997.11199999999997</v>
      </c>
      <c r="BF212">
        <v>1016.485</v>
      </c>
      <c r="BG212">
        <v>985.101</v>
      </c>
      <c r="BH212">
        <v>1087.8579999999999</v>
      </c>
      <c r="BI212">
        <v>883.22400000000005</v>
      </c>
      <c r="BJ212">
        <v>861.03499999999997</v>
      </c>
      <c r="BK212">
        <v>859.76700000000005</v>
      </c>
      <c r="BL212">
        <v>840.78399999999999</v>
      </c>
      <c r="BM212">
        <v>814.04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2:125">
      <c r="B213" t="str">
        <f>"PNC US Equity"</f>
        <v>PNC US Equity</v>
      </c>
      <c r="C213" t="str">
        <f>"A0621"</f>
        <v>A0621</v>
      </c>
      <c r="D213" t="str">
        <f>"ARD_MORTGAGE_BANKING_REVENUE"</f>
        <v>ARD_MORTGAGE_BANKING_REVENUE</v>
      </c>
      <c r="E213" t="str">
        <f t="shared" si="24"/>
        <v>Dynamic</v>
      </c>
      <c r="F213" t="e">
        <f ca="1">_xll.BDH($B$213,$C$213,$B$183,$B$184,CONCATENATE("Per=",$B$181),"Dts=H","Dir=H",CONCATENATE("Points=",$B$182),"Sort=R","Days=A","Fill=B",CONCATENATE("FX=", $B$180),"cols=60;rows=1")</f>
        <v>#NAME?</v>
      </c>
      <c r="G213">
        <v>181</v>
      </c>
      <c r="H213">
        <v>131</v>
      </c>
      <c r="I213">
        <v>147</v>
      </c>
      <c r="J213">
        <v>149</v>
      </c>
      <c r="K213">
        <v>201</v>
      </c>
      <c r="L213">
        <v>98</v>
      </c>
      <c r="M213">
        <v>177</v>
      </c>
      <c r="N213">
        <v>184</v>
      </c>
      <c r="O213">
        <v>143</v>
      </c>
      <c r="P213">
        <v>161</v>
      </c>
      <c r="Q213">
        <v>159</v>
      </c>
      <c r="R213">
        <v>209</v>
      </c>
      <c r="S213">
        <v>248</v>
      </c>
      <c r="T213">
        <v>206</v>
      </c>
      <c r="U213">
        <v>187</v>
      </c>
      <c r="V213">
        <v>99</v>
      </c>
      <c r="W213">
        <v>137</v>
      </c>
      <c r="X213">
        <v>158</v>
      </c>
      <c r="Y213">
        <v>210</v>
      </c>
      <c r="Z213">
        <v>87</v>
      </c>
      <c r="AA213">
        <v>134</v>
      </c>
      <c r="AB213">
        <v>82</v>
      </c>
      <c r="AC213">
        <v>65</v>
      </c>
      <c r="AD213">
        <v>59</v>
      </c>
      <c r="AE213">
        <v>76</v>
      </c>
      <c r="AF213">
        <v>84</v>
      </c>
      <c r="AG213">
        <v>97</v>
      </c>
      <c r="AH213">
        <v>29</v>
      </c>
      <c r="AI213">
        <v>104</v>
      </c>
      <c r="AJ213">
        <v>104</v>
      </c>
      <c r="AK213">
        <v>113</v>
      </c>
      <c r="AL213">
        <v>142</v>
      </c>
      <c r="AM213">
        <v>160</v>
      </c>
      <c r="AN213">
        <v>165</v>
      </c>
      <c r="AO213">
        <v>100</v>
      </c>
      <c r="AP213">
        <v>113</v>
      </c>
      <c r="AQ213">
        <v>125</v>
      </c>
      <c r="AR213">
        <v>164</v>
      </c>
      <c r="AS213">
        <v>164</v>
      </c>
      <c r="AT213">
        <v>135</v>
      </c>
      <c r="AU213">
        <v>140</v>
      </c>
      <c r="AV213">
        <v>182</v>
      </c>
      <c r="AW213">
        <v>161</v>
      </c>
      <c r="AX213">
        <v>271</v>
      </c>
      <c r="AY213">
        <v>199</v>
      </c>
      <c r="AZ213">
        <v>167</v>
      </c>
      <c r="BA213">
        <v>234</v>
      </c>
      <c r="BB213">
        <v>0</v>
      </c>
      <c r="BC213">
        <v>227</v>
      </c>
      <c r="BD213">
        <v>-173</v>
      </c>
      <c r="BE213">
        <v>230</v>
      </c>
      <c r="BF213">
        <v>157</v>
      </c>
      <c r="BG213">
        <v>198</v>
      </c>
      <c r="BH213">
        <v>163</v>
      </c>
      <c r="BI213">
        <v>195</v>
      </c>
      <c r="BJ213">
        <v>157</v>
      </c>
      <c r="BK213">
        <v>216</v>
      </c>
      <c r="BL213">
        <v>179</v>
      </c>
      <c r="BM213">
        <v>147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2:125">
      <c r="B214" t="str">
        <f>"PNC US Equity"</f>
        <v>PNC US Equity</v>
      </c>
      <c r="C214" t="str">
        <f>"RR209"</f>
        <v>RR209</v>
      </c>
      <c r="D214" t="str">
        <f>"NET_REV"</f>
        <v>NET_REV</v>
      </c>
      <c r="E214" t="str">
        <f t="shared" si="24"/>
        <v>Dynamic</v>
      </c>
      <c r="F214" t="e">
        <f ca="1">_xll.BDH($B$214,$C$214,$B$183,$B$184,CONCATENATE("Per=",$B$181),"Dts=H","Dir=H",CONCATENATE("Points=",$B$182),"Sort=R","Days=A","Fill=B",CONCATENATE("FX=", $B$180),"cols=60;rows=1")</f>
        <v>#NAME?</v>
      </c>
      <c r="G214">
        <v>5432</v>
      </c>
      <c r="H214">
        <v>5411</v>
      </c>
      <c r="I214">
        <v>5145</v>
      </c>
      <c r="J214">
        <v>5361</v>
      </c>
      <c r="K214">
        <v>5233</v>
      </c>
      <c r="L214">
        <v>5293</v>
      </c>
      <c r="M214">
        <v>5603</v>
      </c>
      <c r="N214">
        <v>5763</v>
      </c>
      <c r="O214">
        <v>5549</v>
      </c>
      <c r="P214">
        <v>5116</v>
      </c>
      <c r="Q214">
        <v>4692</v>
      </c>
      <c r="R214">
        <v>5127</v>
      </c>
      <c r="S214">
        <v>5197</v>
      </c>
      <c r="T214">
        <v>4667</v>
      </c>
      <c r="U214">
        <v>4220</v>
      </c>
      <c r="V214">
        <v>4208</v>
      </c>
      <c r="W214">
        <v>4281</v>
      </c>
      <c r="X214">
        <v>4076</v>
      </c>
      <c r="Y214">
        <v>4336</v>
      </c>
      <c r="Z214">
        <v>4321</v>
      </c>
      <c r="AA214">
        <v>4242</v>
      </c>
      <c r="AB214">
        <v>4439</v>
      </c>
      <c r="AC214">
        <v>4286</v>
      </c>
      <c r="AD214">
        <v>4340</v>
      </c>
      <c r="AE214">
        <v>4357</v>
      </c>
      <c r="AF214">
        <v>4324</v>
      </c>
      <c r="AG214">
        <v>4111</v>
      </c>
      <c r="AH214">
        <v>4260</v>
      </c>
      <c r="AI214">
        <v>4125</v>
      </c>
      <c r="AJ214">
        <v>4060</v>
      </c>
      <c r="AK214">
        <v>3884</v>
      </c>
      <c r="AL214">
        <v>3874</v>
      </c>
      <c r="AM214">
        <v>3829</v>
      </c>
      <c r="AN214">
        <v>3794</v>
      </c>
      <c r="AO214">
        <v>3665</v>
      </c>
      <c r="AP214">
        <v>3853</v>
      </c>
      <c r="AQ214">
        <v>3775</v>
      </c>
      <c r="AR214">
        <v>3866</v>
      </c>
      <c r="AS214">
        <v>3731</v>
      </c>
      <c r="AT214">
        <v>3947</v>
      </c>
      <c r="AU214">
        <v>3841</v>
      </c>
      <c r="AV214">
        <v>3810</v>
      </c>
      <c r="AW214">
        <v>3777</v>
      </c>
      <c r="AX214">
        <v>4073</v>
      </c>
      <c r="AY214">
        <v>3920</v>
      </c>
      <c r="AZ214">
        <v>4064</v>
      </c>
      <c r="BA214">
        <v>3955</v>
      </c>
      <c r="BB214">
        <v>4069</v>
      </c>
      <c r="BC214">
        <v>4088</v>
      </c>
      <c r="BD214">
        <v>3623</v>
      </c>
      <c r="BE214">
        <v>3732</v>
      </c>
      <c r="BF214">
        <v>3549</v>
      </c>
      <c r="BG214">
        <v>3544</v>
      </c>
      <c r="BH214">
        <v>3602</v>
      </c>
      <c r="BI214">
        <v>3631</v>
      </c>
      <c r="BJ214">
        <v>3903</v>
      </c>
      <c r="BK214">
        <v>3598</v>
      </c>
      <c r="BL214">
        <v>3912</v>
      </c>
      <c r="BM214">
        <v>3763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2:125">
      <c r="B215" t="str">
        <f>"RF US Equity"</f>
        <v>RF US Equity</v>
      </c>
      <c r="C215" t="str">
        <f>"A0621"</f>
        <v>A0621</v>
      </c>
      <c r="D215" t="str">
        <f>"ARD_MORTGAGE_BANKING_REVENUE"</f>
        <v>ARD_MORTGAGE_BANKING_REVENUE</v>
      </c>
      <c r="E215" t="str">
        <f t="shared" si="24"/>
        <v>Dynamic</v>
      </c>
      <c r="F215" t="e">
        <f ca="1">_xll.BDH($B$215,$C$215,$B$183,$B$184,CONCATENATE("Per=",$B$181),"Dts=H","Dir=H",CONCATENATE("Points=",$B$182),"Sort=R","Days=A","Fill=B",CONCATENATE("FX=", $B$180),"cols=60;rows=1")</f>
        <v>#NAME?</v>
      </c>
      <c r="G215">
        <v>36</v>
      </c>
      <c r="H215">
        <v>34</v>
      </c>
      <c r="I215">
        <v>41</v>
      </c>
      <c r="J215">
        <v>31</v>
      </c>
      <c r="K215">
        <v>28</v>
      </c>
      <c r="L215">
        <v>26</v>
      </c>
      <c r="M215">
        <v>24</v>
      </c>
      <c r="N215">
        <v>24</v>
      </c>
      <c r="O215">
        <v>37</v>
      </c>
      <c r="P215">
        <v>47</v>
      </c>
      <c r="Q215">
        <v>48</v>
      </c>
      <c r="R215">
        <v>49</v>
      </c>
      <c r="S215">
        <v>50</v>
      </c>
      <c r="T215">
        <v>53</v>
      </c>
      <c r="U215">
        <v>90</v>
      </c>
      <c r="V215">
        <v>51</v>
      </c>
      <c r="W215">
        <v>108</v>
      </c>
      <c r="X215">
        <v>82</v>
      </c>
      <c r="Y215">
        <v>68</v>
      </c>
      <c r="Z215">
        <v>49</v>
      </c>
      <c r="AA215">
        <v>56</v>
      </c>
      <c r="AB215">
        <v>31</v>
      </c>
      <c r="AC215">
        <v>27</v>
      </c>
      <c r="AD215">
        <v>30</v>
      </c>
      <c r="AE215">
        <v>32</v>
      </c>
      <c r="AF215">
        <v>37</v>
      </c>
      <c r="AG215">
        <v>38</v>
      </c>
      <c r="AI215">
        <v>32</v>
      </c>
      <c r="AJ215">
        <v>40</v>
      </c>
      <c r="AK215">
        <v>41</v>
      </c>
      <c r="AM215">
        <v>46</v>
      </c>
      <c r="AN215">
        <v>46</v>
      </c>
      <c r="AO215">
        <v>38</v>
      </c>
      <c r="AP215">
        <v>37</v>
      </c>
      <c r="AQ215">
        <v>39</v>
      </c>
      <c r="AR215">
        <v>46</v>
      </c>
      <c r="AS215">
        <v>40</v>
      </c>
      <c r="AT215">
        <v>27</v>
      </c>
      <c r="AU215">
        <v>39</v>
      </c>
      <c r="AV215">
        <v>43</v>
      </c>
      <c r="AW215">
        <v>40</v>
      </c>
      <c r="AX215">
        <v>43</v>
      </c>
      <c r="AY215">
        <v>52</v>
      </c>
      <c r="AZ215">
        <v>69</v>
      </c>
      <c r="BA215">
        <v>72</v>
      </c>
      <c r="BB215">
        <v>90</v>
      </c>
      <c r="BC215">
        <v>106</v>
      </c>
      <c r="BD215">
        <v>90</v>
      </c>
      <c r="BE215">
        <v>77</v>
      </c>
      <c r="BF215">
        <v>57</v>
      </c>
      <c r="BG215">
        <v>68</v>
      </c>
      <c r="BH215">
        <v>50</v>
      </c>
      <c r="BI215">
        <v>45</v>
      </c>
      <c r="BJ215">
        <v>51</v>
      </c>
      <c r="BK215">
        <v>66</v>
      </c>
      <c r="BL215">
        <v>63</v>
      </c>
      <c r="BM215">
        <v>67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2:125">
      <c r="B216" t="str">
        <f>"RF US Equity"</f>
        <v>RF US Equity</v>
      </c>
      <c r="C216" t="str">
        <f>"RR209"</f>
        <v>RR209</v>
      </c>
      <c r="D216" t="str">
        <f>"NET_REV"</f>
        <v>NET_REV</v>
      </c>
      <c r="E216" t="str">
        <f t="shared" si="24"/>
        <v>Dynamic</v>
      </c>
      <c r="F216" t="e">
        <f ca="1">_xll.BDH($B$216,$C$216,$B$183,$B$184,CONCATENATE("Per=",$B$181),"Dts=H","Dir=H",CONCATENATE("Points=",$B$182),"Sort=R","Days=A","Fill=B",CONCATENATE("FX=", $B$180),"cols=60;rows=1")</f>
        <v>#NAME?</v>
      </c>
      <c r="G216">
        <v>1790</v>
      </c>
      <c r="H216">
        <v>1731</v>
      </c>
      <c r="I216">
        <v>1747</v>
      </c>
      <c r="J216">
        <v>1811</v>
      </c>
      <c r="K216">
        <v>1857</v>
      </c>
      <c r="L216">
        <v>1957</v>
      </c>
      <c r="M216">
        <v>1951</v>
      </c>
      <c r="N216">
        <v>2322</v>
      </c>
      <c r="O216">
        <v>2170</v>
      </c>
      <c r="P216">
        <v>1861</v>
      </c>
      <c r="Q216">
        <v>1599</v>
      </c>
      <c r="R216">
        <v>1634</v>
      </c>
      <c r="S216">
        <v>1773</v>
      </c>
      <c r="T216">
        <v>1582</v>
      </c>
      <c r="U216">
        <v>1608</v>
      </c>
      <c r="V216">
        <v>1672</v>
      </c>
      <c r="W216">
        <v>1643</v>
      </c>
      <c r="X216">
        <v>1545</v>
      </c>
      <c r="Y216">
        <v>1413</v>
      </c>
      <c r="Z216">
        <v>1467</v>
      </c>
      <c r="AA216">
        <v>1495</v>
      </c>
      <c r="AB216">
        <v>1436</v>
      </c>
      <c r="AC216">
        <v>1459</v>
      </c>
      <c r="AD216">
        <v>1436</v>
      </c>
      <c r="AE216">
        <v>1461</v>
      </c>
      <c r="AF216">
        <v>1438</v>
      </c>
      <c r="AG216">
        <v>1420</v>
      </c>
      <c r="AH216">
        <v>1414</v>
      </c>
      <c r="AI216">
        <v>1379</v>
      </c>
      <c r="AJ216">
        <v>1372</v>
      </c>
      <c r="AK216">
        <v>1336</v>
      </c>
      <c r="AL216">
        <v>1233</v>
      </c>
      <c r="AM216">
        <v>1434</v>
      </c>
      <c r="AN216">
        <v>1374</v>
      </c>
      <c r="AO216">
        <v>1368</v>
      </c>
      <c r="AP216">
        <v>1350</v>
      </c>
      <c r="AQ216">
        <v>1333</v>
      </c>
      <c r="AR216">
        <v>1410</v>
      </c>
      <c r="AS216">
        <v>1285</v>
      </c>
      <c r="AT216">
        <v>1294</v>
      </c>
      <c r="AU216">
        <v>1318</v>
      </c>
      <c r="AV216">
        <v>1298</v>
      </c>
      <c r="AW216">
        <v>1273</v>
      </c>
      <c r="AX216">
        <v>1358</v>
      </c>
      <c r="AY216">
        <v>1319</v>
      </c>
      <c r="AZ216">
        <v>1305</v>
      </c>
      <c r="BA216">
        <v>1299</v>
      </c>
      <c r="BB216">
        <v>1354</v>
      </c>
      <c r="BC216">
        <v>1350</v>
      </c>
      <c r="BD216">
        <v>1345</v>
      </c>
      <c r="BE216">
        <v>1351</v>
      </c>
      <c r="BF216">
        <v>1356</v>
      </c>
      <c r="BG216">
        <v>1363</v>
      </c>
      <c r="BH216">
        <v>1399</v>
      </c>
      <c r="BI216">
        <v>1435</v>
      </c>
      <c r="BJ216">
        <v>1783</v>
      </c>
      <c r="BK216">
        <v>1618</v>
      </c>
      <c r="BL216">
        <v>1612</v>
      </c>
      <c r="BM216">
        <v>1643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2:125">
      <c r="B217" t="str">
        <f>"TFC US Equity"</f>
        <v>TFC US Equity</v>
      </c>
      <c r="C217" t="str">
        <f>"A0621"</f>
        <v>A0621</v>
      </c>
      <c r="D217" t="str">
        <f>"ARD_MORTGAGE_BANKING_REVENUE"</f>
        <v>ARD_MORTGAGE_BANKING_REVENUE</v>
      </c>
      <c r="E217" t="str">
        <f t="shared" si="24"/>
        <v>Dynamic</v>
      </c>
      <c r="F217" t="e">
        <f ca="1">_xll.BDH($B$217,$C$217,$B$183,$B$184,CONCATENATE("Per=",$B$181),"Dts=H","Dir=H",CONCATENATE("Points=",$B$182),"Sort=R","Days=A","Fill=B",CONCATENATE("FX=", $B$180),"cols=60;rows=1")</f>
        <v>#NAME?</v>
      </c>
      <c r="G217">
        <v>106</v>
      </c>
      <c r="H217">
        <v>112</v>
      </c>
      <c r="I217">
        <v>97</v>
      </c>
      <c r="J217">
        <v>94</v>
      </c>
      <c r="K217">
        <v>102</v>
      </c>
      <c r="L217">
        <v>99</v>
      </c>
      <c r="M217">
        <v>142</v>
      </c>
      <c r="O217">
        <v>122</v>
      </c>
      <c r="P217">
        <v>74</v>
      </c>
      <c r="Q217">
        <v>89</v>
      </c>
      <c r="S217">
        <v>179</v>
      </c>
      <c r="T217">
        <v>117</v>
      </c>
      <c r="U217">
        <v>100</v>
      </c>
      <c r="W217">
        <v>221</v>
      </c>
      <c r="X217">
        <v>341</v>
      </c>
      <c r="Y217">
        <v>245</v>
      </c>
      <c r="Z217">
        <v>65</v>
      </c>
      <c r="AA217">
        <v>80</v>
      </c>
      <c r="AB217">
        <v>91</v>
      </c>
      <c r="AC217">
        <v>49</v>
      </c>
      <c r="AD217">
        <v>58</v>
      </c>
      <c r="AE217">
        <v>79</v>
      </c>
      <c r="AF217">
        <v>94</v>
      </c>
      <c r="AG217">
        <v>99</v>
      </c>
      <c r="AH217">
        <v>104</v>
      </c>
      <c r="AI217">
        <v>114</v>
      </c>
      <c r="AJ217">
        <v>94</v>
      </c>
      <c r="AK217">
        <v>103</v>
      </c>
      <c r="AL217">
        <v>107</v>
      </c>
      <c r="AM217">
        <v>154</v>
      </c>
      <c r="AN217">
        <v>111</v>
      </c>
      <c r="AO217">
        <v>91</v>
      </c>
      <c r="AP217">
        <v>104</v>
      </c>
      <c r="AQ217">
        <v>111</v>
      </c>
      <c r="AR217">
        <v>130</v>
      </c>
      <c r="AS217">
        <v>110</v>
      </c>
      <c r="AT217">
        <v>128</v>
      </c>
      <c r="AU217">
        <v>107</v>
      </c>
      <c r="AV217">
        <v>86</v>
      </c>
      <c r="AW217">
        <v>74</v>
      </c>
      <c r="AX217">
        <v>100</v>
      </c>
      <c r="AY217">
        <v>117</v>
      </c>
      <c r="AZ217">
        <v>168</v>
      </c>
      <c r="BA217">
        <v>180</v>
      </c>
      <c r="BB217">
        <v>231</v>
      </c>
      <c r="BC217">
        <v>211</v>
      </c>
      <c r="BD217">
        <v>182</v>
      </c>
      <c r="BE217">
        <v>216</v>
      </c>
      <c r="BF217">
        <v>135</v>
      </c>
      <c r="BG217">
        <v>123</v>
      </c>
      <c r="BH217">
        <v>83</v>
      </c>
      <c r="BI217">
        <v>95</v>
      </c>
      <c r="BJ217">
        <v>138</v>
      </c>
      <c r="BK217">
        <v>184</v>
      </c>
      <c r="BL217">
        <v>110</v>
      </c>
      <c r="BM217">
        <v>89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2:125">
      <c r="B218" t="str">
        <f>"TFC US Equity"</f>
        <v>TFC US Equity</v>
      </c>
      <c r="C218" t="str">
        <f>"RR209"</f>
        <v>RR209</v>
      </c>
      <c r="D218" t="str">
        <f>"NET_REV"</f>
        <v>NET_REV</v>
      </c>
      <c r="E218" t="str">
        <f t="shared" si="24"/>
        <v>Dynamic</v>
      </c>
      <c r="F218" t="e">
        <f ca="1">_xll.BDH($B$218,$C$218,$B$183,$B$184,CONCATENATE("Per=",$B$181),"Dts=H","Dir=H",CONCATENATE("Points=",$B$182),"Sort=R","Days=A","Fill=B",CONCATENATE("FX=", $B$180),"cols=60;rows=1")</f>
        <v>#NAME?</v>
      </c>
      <c r="G218">
        <v>5085</v>
      </c>
      <c r="H218">
        <v>-1685</v>
      </c>
      <c r="I218">
        <v>4818</v>
      </c>
      <c r="J218">
        <v>4882</v>
      </c>
      <c r="K218">
        <v>5672</v>
      </c>
      <c r="L218">
        <v>4983</v>
      </c>
      <c r="M218">
        <v>5288</v>
      </c>
      <c r="N218">
        <v>6208</v>
      </c>
      <c r="O218">
        <v>5847</v>
      </c>
      <c r="P218">
        <v>5655</v>
      </c>
      <c r="Q218">
        <v>5325</v>
      </c>
      <c r="R218">
        <v>5566</v>
      </c>
      <c r="S218">
        <v>5598</v>
      </c>
      <c r="T218">
        <v>5650</v>
      </c>
      <c r="U218">
        <v>5482</v>
      </c>
      <c r="V218">
        <v>5651</v>
      </c>
      <c r="W218">
        <v>5572</v>
      </c>
      <c r="X218">
        <v>5871</v>
      </c>
      <c r="Y218">
        <v>5611</v>
      </c>
      <c r="Z218">
        <v>3625</v>
      </c>
      <c r="AA218">
        <v>3003</v>
      </c>
      <c r="AB218">
        <v>3042</v>
      </c>
      <c r="AC218">
        <v>2898</v>
      </c>
      <c r="AD218">
        <v>2940</v>
      </c>
      <c r="AE218">
        <v>2926</v>
      </c>
      <c r="AF218">
        <v>2879</v>
      </c>
      <c r="AG218">
        <v>2813</v>
      </c>
      <c r="AH218">
        <v>2869</v>
      </c>
      <c r="AI218">
        <v>2813</v>
      </c>
      <c r="AJ218">
        <v>2855</v>
      </c>
      <c r="AK218">
        <v>2780</v>
      </c>
      <c r="AL218">
        <v>2727</v>
      </c>
      <c r="AM218">
        <v>2774</v>
      </c>
      <c r="AN218">
        <v>2747</v>
      </c>
      <c r="AO218">
        <v>2545</v>
      </c>
      <c r="AP218">
        <v>2519</v>
      </c>
      <c r="AQ218">
        <v>2452</v>
      </c>
      <c r="AR218">
        <v>2331</v>
      </c>
      <c r="AS218">
        <v>2309</v>
      </c>
      <c r="AT218">
        <v>2339</v>
      </c>
      <c r="AU218">
        <v>2285</v>
      </c>
      <c r="AV218">
        <v>2276</v>
      </c>
      <c r="AW218">
        <v>2274</v>
      </c>
      <c r="AX218">
        <v>2347</v>
      </c>
      <c r="AY218">
        <v>2322</v>
      </c>
      <c r="AZ218">
        <v>2461</v>
      </c>
      <c r="BA218">
        <v>2423</v>
      </c>
      <c r="BB218">
        <v>2496</v>
      </c>
      <c r="BC218">
        <v>2446</v>
      </c>
      <c r="BD218">
        <v>2428</v>
      </c>
      <c r="BE218">
        <v>2307</v>
      </c>
      <c r="BF218">
        <v>2374</v>
      </c>
      <c r="BG218">
        <v>2106</v>
      </c>
      <c r="BH218">
        <v>2141</v>
      </c>
      <c r="BI218">
        <v>1999</v>
      </c>
      <c r="BJ218">
        <v>2296</v>
      </c>
      <c r="BK218">
        <v>2424</v>
      </c>
      <c r="BL218">
        <v>2399</v>
      </c>
      <c r="BM218">
        <v>2158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2:125">
      <c r="B219" t="str">
        <f>"USB US Equity"</f>
        <v>USB US Equity</v>
      </c>
      <c r="C219" t="str">
        <f>"A0621"</f>
        <v>A0621</v>
      </c>
      <c r="D219" t="str">
        <f>"ARD_MORTGAGE_BANKING_REVENUE"</f>
        <v>ARD_MORTGAGE_BANKING_REVENUE</v>
      </c>
      <c r="E219" t="str">
        <f t="shared" si="24"/>
        <v>Dynamic</v>
      </c>
      <c r="F219" t="e">
        <f ca="1">_xll.BDH($B$219,$C$219,$B$183,$B$184,CONCATENATE("Per=",$B$181),"Dts=H","Dir=H",CONCATENATE("Points=",$B$182),"Sort=R","Days=A","Fill=B",CONCATENATE("FX=", $B$180),"cols=60;rows=1")</f>
        <v>#NAME?</v>
      </c>
      <c r="G219">
        <v>155</v>
      </c>
      <c r="H219">
        <v>190</v>
      </c>
      <c r="I219">
        <v>166</v>
      </c>
      <c r="J219">
        <v>137</v>
      </c>
      <c r="K219">
        <v>144</v>
      </c>
      <c r="L219">
        <v>131</v>
      </c>
      <c r="M219">
        <v>128</v>
      </c>
      <c r="N219">
        <v>104</v>
      </c>
      <c r="O219">
        <v>81</v>
      </c>
      <c r="P219">
        <v>142</v>
      </c>
      <c r="Q219">
        <v>200</v>
      </c>
      <c r="R219">
        <v>298</v>
      </c>
      <c r="S219">
        <v>418</v>
      </c>
      <c r="T219">
        <v>346</v>
      </c>
      <c r="U219">
        <v>299</v>
      </c>
      <c r="V219">
        <v>468</v>
      </c>
      <c r="W219">
        <v>553</v>
      </c>
      <c r="X219">
        <v>648</v>
      </c>
      <c r="Y219">
        <v>395</v>
      </c>
      <c r="Z219">
        <v>244</v>
      </c>
      <c r="AA219">
        <v>272</v>
      </c>
      <c r="AB219">
        <v>189</v>
      </c>
      <c r="AC219">
        <v>169</v>
      </c>
      <c r="AD219">
        <v>171</v>
      </c>
      <c r="AE219">
        <v>174</v>
      </c>
      <c r="AF219">
        <v>191</v>
      </c>
      <c r="AG219">
        <v>184</v>
      </c>
      <c r="AH219">
        <v>202</v>
      </c>
      <c r="AI219">
        <v>213</v>
      </c>
      <c r="AJ219">
        <v>212</v>
      </c>
      <c r="AK219">
        <v>207</v>
      </c>
      <c r="AL219">
        <v>240</v>
      </c>
      <c r="AM219">
        <v>314</v>
      </c>
      <c r="AN219">
        <v>238</v>
      </c>
      <c r="AO219">
        <v>187</v>
      </c>
      <c r="AP219">
        <v>211</v>
      </c>
      <c r="AQ219">
        <v>224</v>
      </c>
      <c r="AR219">
        <v>231</v>
      </c>
      <c r="AS219">
        <v>240</v>
      </c>
      <c r="AT219">
        <v>235</v>
      </c>
      <c r="AU219">
        <v>260</v>
      </c>
      <c r="AV219">
        <v>278</v>
      </c>
      <c r="AW219">
        <v>236</v>
      </c>
      <c r="AX219">
        <v>231</v>
      </c>
      <c r="AY219">
        <v>328</v>
      </c>
      <c r="AZ219">
        <v>396</v>
      </c>
      <c r="BA219">
        <v>401</v>
      </c>
      <c r="BB219">
        <v>476</v>
      </c>
      <c r="BC219">
        <v>519</v>
      </c>
      <c r="BD219">
        <v>490</v>
      </c>
      <c r="BE219">
        <v>452</v>
      </c>
      <c r="BF219">
        <v>303</v>
      </c>
      <c r="BG219">
        <v>245</v>
      </c>
      <c r="BH219">
        <v>239</v>
      </c>
      <c r="BI219">
        <v>199</v>
      </c>
      <c r="BJ219">
        <v>250</v>
      </c>
      <c r="BK219">
        <v>310</v>
      </c>
      <c r="BL219">
        <v>243</v>
      </c>
      <c r="BM219">
        <v>200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2:125">
      <c r="B220" t="str">
        <f>"USB US Equity"</f>
        <v>USB US Equity</v>
      </c>
      <c r="C220" t="str">
        <f>"RR209"</f>
        <v>RR209</v>
      </c>
      <c r="D220" t="str">
        <f>"NET_REV"</f>
        <v>NET_REV</v>
      </c>
      <c r="E220" t="str">
        <f t="shared" si="24"/>
        <v>Dynamic</v>
      </c>
      <c r="F220" t="e">
        <f ca="1">_xll.BDH($B$220,$C$220,$B$183,$B$184,CONCATENATE("Per=",$B$181),"Dts=H","Dir=H",CONCATENATE("Points=",$B$182),"Sort=R","Days=A","Fill=B",CONCATENATE("FX=", $B$180),"cols=60;rows=1")</f>
        <v>#NAME?</v>
      </c>
      <c r="G220">
        <v>6833</v>
      </c>
      <c r="H220">
        <v>6838</v>
      </c>
      <c r="I220">
        <v>6685</v>
      </c>
      <c r="J220">
        <v>6731</v>
      </c>
      <c r="K220">
        <v>7000</v>
      </c>
      <c r="L220">
        <v>7141</v>
      </c>
      <c r="M220">
        <v>7141</v>
      </c>
      <c r="N220">
        <v>6336</v>
      </c>
      <c r="O220">
        <v>6296</v>
      </c>
      <c r="P220">
        <v>5983</v>
      </c>
      <c r="Q220">
        <v>5569</v>
      </c>
      <c r="R220">
        <v>5657</v>
      </c>
      <c r="S220">
        <v>5864</v>
      </c>
      <c r="T220">
        <v>5756</v>
      </c>
      <c r="U220">
        <v>5444</v>
      </c>
      <c r="V220">
        <v>5725</v>
      </c>
      <c r="W220">
        <v>5939</v>
      </c>
      <c r="X220">
        <v>5814</v>
      </c>
      <c r="Y220">
        <v>5748</v>
      </c>
      <c r="Z220">
        <v>5643</v>
      </c>
      <c r="AA220">
        <v>5895</v>
      </c>
      <c r="AB220">
        <v>5795</v>
      </c>
      <c r="AC220">
        <v>5550</v>
      </c>
      <c r="AD220">
        <v>5801</v>
      </c>
      <c r="AE220">
        <v>5669</v>
      </c>
      <c r="AF220">
        <v>5611</v>
      </c>
      <c r="AG220">
        <v>5440</v>
      </c>
      <c r="AH220">
        <v>5545</v>
      </c>
      <c r="AI220">
        <v>5516</v>
      </c>
      <c r="AJ220">
        <v>5397</v>
      </c>
      <c r="AK220">
        <v>5239</v>
      </c>
      <c r="AL220">
        <v>5386</v>
      </c>
      <c r="AM220">
        <v>5338</v>
      </c>
      <c r="AN220">
        <v>5397</v>
      </c>
      <c r="AO220">
        <v>4984</v>
      </c>
      <c r="AP220">
        <v>5159</v>
      </c>
      <c r="AQ220">
        <v>5094</v>
      </c>
      <c r="AR220">
        <v>4988</v>
      </c>
      <c r="AS220">
        <v>4852</v>
      </c>
      <c r="AT220">
        <v>5114</v>
      </c>
      <c r="AU220">
        <v>4934</v>
      </c>
      <c r="AV220">
        <v>5133</v>
      </c>
      <c r="AW220">
        <v>4758</v>
      </c>
      <c r="AX220">
        <v>4833</v>
      </c>
      <c r="AY220">
        <v>4835</v>
      </c>
      <c r="AZ220">
        <v>4892</v>
      </c>
      <c r="BA220">
        <v>4818</v>
      </c>
      <c r="BB220">
        <v>5056</v>
      </c>
      <c r="BC220">
        <v>5122</v>
      </c>
      <c r="BD220">
        <v>5013</v>
      </c>
      <c r="BE220">
        <v>4873</v>
      </c>
      <c r="BF220">
        <v>5048</v>
      </c>
      <c r="BG220">
        <v>4737</v>
      </c>
      <c r="BH220">
        <v>4634</v>
      </c>
      <c r="BI220">
        <v>4464</v>
      </c>
      <c r="BJ220">
        <v>4668</v>
      </c>
      <c r="BK220">
        <v>4534</v>
      </c>
      <c r="BL220">
        <v>4467</v>
      </c>
      <c r="BM220">
        <v>4270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2:125">
      <c r="B221" t="str">
        <f>"WFC US Equity"</f>
        <v>WFC US Equity</v>
      </c>
      <c r="C221" t="str">
        <f>"A0621"</f>
        <v>A0621</v>
      </c>
      <c r="D221" t="str">
        <f>"ARD_MORTGAGE_BANKING_REVENUE"</f>
        <v>ARD_MORTGAGE_BANKING_REVENUE</v>
      </c>
      <c r="E221" t="str">
        <f t="shared" si="24"/>
        <v>Dynamic</v>
      </c>
      <c r="F221" t="e">
        <f ca="1">_xll.BDH($B$221,$C$221,$B$183,$B$184,CONCATENATE("Per=",$B$181),"Dts=H","Dir=H",CONCATENATE("Points=",$B$182),"Sort=R","Days=A","Fill=B",CONCATENATE("FX=", $B$180),"cols=60;rows=1")</f>
        <v>#NAME?</v>
      </c>
      <c r="G221">
        <v>280</v>
      </c>
      <c r="H221">
        <v>243</v>
      </c>
      <c r="I221">
        <v>230</v>
      </c>
      <c r="J221">
        <v>202</v>
      </c>
      <c r="K221">
        <v>193</v>
      </c>
      <c r="L221">
        <v>202</v>
      </c>
      <c r="M221">
        <v>232</v>
      </c>
      <c r="N221">
        <v>79</v>
      </c>
      <c r="O221">
        <v>324</v>
      </c>
      <c r="P221">
        <v>287</v>
      </c>
      <c r="Q221">
        <v>693</v>
      </c>
      <c r="R221">
        <v>1035</v>
      </c>
      <c r="S221">
        <v>1259</v>
      </c>
      <c r="T221">
        <v>1336</v>
      </c>
      <c r="U221">
        <v>1326</v>
      </c>
      <c r="V221">
        <v>1207</v>
      </c>
      <c r="W221">
        <v>1590</v>
      </c>
      <c r="X221">
        <v>317</v>
      </c>
      <c r="Y221">
        <v>379</v>
      </c>
      <c r="Z221">
        <v>783</v>
      </c>
      <c r="AA221">
        <v>466</v>
      </c>
      <c r="AB221">
        <v>758</v>
      </c>
      <c r="AC221">
        <v>708</v>
      </c>
      <c r="AD221">
        <v>467</v>
      </c>
      <c r="AE221">
        <v>846</v>
      </c>
      <c r="AF221">
        <v>770</v>
      </c>
      <c r="AG221">
        <v>934</v>
      </c>
      <c r="AH221">
        <v>928</v>
      </c>
      <c r="AI221">
        <v>1046</v>
      </c>
      <c r="AJ221">
        <v>1148</v>
      </c>
      <c r="AK221">
        <v>1228</v>
      </c>
      <c r="AL221">
        <v>1417</v>
      </c>
      <c r="AM221">
        <v>1667</v>
      </c>
      <c r="AN221">
        <v>1414</v>
      </c>
      <c r="AO221">
        <v>1598</v>
      </c>
      <c r="AP221">
        <v>1660</v>
      </c>
      <c r="AQ221">
        <v>1589</v>
      </c>
      <c r="AR221">
        <v>1705</v>
      </c>
      <c r="AS221">
        <v>1547</v>
      </c>
      <c r="AT221">
        <v>1515</v>
      </c>
      <c r="AU221">
        <v>1633</v>
      </c>
      <c r="AV221">
        <v>1723</v>
      </c>
      <c r="AW221">
        <v>1510</v>
      </c>
      <c r="AX221">
        <v>1570</v>
      </c>
      <c r="AY221">
        <v>1608</v>
      </c>
      <c r="AZ221">
        <v>2802</v>
      </c>
      <c r="BA221">
        <v>2794</v>
      </c>
      <c r="BB221">
        <v>3068</v>
      </c>
      <c r="BC221">
        <v>2807</v>
      </c>
      <c r="BD221">
        <v>2893</v>
      </c>
      <c r="BE221">
        <v>2870</v>
      </c>
      <c r="BF221">
        <v>2364</v>
      </c>
      <c r="BG221">
        <v>1833</v>
      </c>
      <c r="BH221">
        <v>1619</v>
      </c>
      <c r="BI221">
        <v>2016</v>
      </c>
      <c r="BJ221">
        <v>2757</v>
      </c>
      <c r="BK221">
        <v>2499</v>
      </c>
      <c r="BL221">
        <v>2011</v>
      </c>
      <c r="BM221">
        <v>2470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2:125">
      <c r="B222" t="str">
        <f>"WFC US Equity"</f>
        <v>WFC US Equity</v>
      </c>
      <c r="C222" t="str">
        <f>"RR209"</f>
        <v>RR209</v>
      </c>
      <c r="D222" t="str">
        <f>"NET_REV"</f>
        <v>NET_REV</v>
      </c>
      <c r="E222" t="str">
        <f t="shared" si="24"/>
        <v>Dynamic</v>
      </c>
      <c r="F222" t="e">
        <f ca="1">_xll.BDH($B$222,$C$222,$B$183,$B$184,CONCATENATE("Per=",$B$181),"Dts=H","Dir=H",CONCATENATE("Points=",$B$182),"Sort=R","Days=A","Fill=B",CONCATENATE("FX=", $B$180),"cols=60;rows=1")</f>
        <v>#NAME?</v>
      </c>
      <c r="G222">
        <v>20366</v>
      </c>
      <c r="H222">
        <v>20689</v>
      </c>
      <c r="I222">
        <v>20863</v>
      </c>
      <c r="J222">
        <v>20478</v>
      </c>
      <c r="K222">
        <v>20857</v>
      </c>
      <c r="L222">
        <v>20533</v>
      </c>
      <c r="M222">
        <v>20729</v>
      </c>
      <c r="N222">
        <v>20034</v>
      </c>
      <c r="O222">
        <v>19566</v>
      </c>
      <c r="P222">
        <v>17040</v>
      </c>
      <c r="Q222">
        <v>17728</v>
      </c>
      <c r="R222">
        <v>20856</v>
      </c>
      <c r="S222">
        <v>18834</v>
      </c>
      <c r="T222">
        <v>20270</v>
      </c>
      <c r="U222">
        <v>18532</v>
      </c>
      <c r="V222">
        <v>18489</v>
      </c>
      <c r="W222">
        <v>19316</v>
      </c>
      <c r="X222">
        <v>18286</v>
      </c>
      <c r="Y222">
        <v>17717</v>
      </c>
      <c r="Z222">
        <v>19860</v>
      </c>
      <c r="AA222">
        <v>22010</v>
      </c>
      <c r="AB222">
        <v>21584</v>
      </c>
      <c r="AC222">
        <v>21609</v>
      </c>
      <c r="AD222">
        <v>20980</v>
      </c>
      <c r="AE222">
        <v>21941</v>
      </c>
      <c r="AF222">
        <v>21553</v>
      </c>
      <c r="AG222">
        <v>21934</v>
      </c>
      <c r="AH222">
        <v>22050</v>
      </c>
      <c r="AI222">
        <v>21849</v>
      </c>
      <c r="AJ222">
        <v>22235</v>
      </c>
      <c r="AK222">
        <v>22255</v>
      </c>
      <c r="AL222">
        <v>21582</v>
      </c>
      <c r="AM222">
        <v>22328</v>
      </c>
      <c r="AN222">
        <v>22162</v>
      </c>
      <c r="AO222">
        <v>22195</v>
      </c>
      <c r="AP222">
        <v>21586</v>
      </c>
      <c r="AQ222">
        <v>21875</v>
      </c>
      <c r="AR222">
        <v>21318</v>
      </c>
      <c r="AS222">
        <v>21278</v>
      </c>
      <c r="AT222">
        <v>21443</v>
      </c>
      <c r="AU222">
        <v>21213</v>
      </c>
      <c r="AV222">
        <v>21066</v>
      </c>
      <c r="AW222">
        <v>20625</v>
      </c>
      <c r="AX222">
        <v>20665</v>
      </c>
      <c r="AY222">
        <v>20478</v>
      </c>
      <c r="AZ222">
        <v>21378</v>
      </c>
      <c r="BA222">
        <v>21259</v>
      </c>
      <c r="BB222">
        <v>21948</v>
      </c>
      <c r="BC222">
        <v>21213</v>
      </c>
      <c r="BD222">
        <v>21289</v>
      </c>
      <c r="BE222">
        <v>21636</v>
      </c>
      <c r="BF222">
        <v>20605</v>
      </c>
      <c r="BG222">
        <v>19628</v>
      </c>
      <c r="BH222">
        <v>20386</v>
      </c>
      <c r="BI222">
        <v>20329</v>
      </c>
      <c r="BJ222">
        <v>21494</v>
      </c>
      <c r="BK222">
        <v>20874</v>
      </c>
      <c r="BL222">
        <v>21394</v>
      </c>
      <c r="BM222">
        <v>21448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2:125">
      <c r="B223" t="str">
        <f>"WAL US Equity"</f>
        <v>WAL US Equity</v>
      </c>
      <c r="C223" t="str">
        <f>"A0621"</f>
        <v>A0621</v>
      </c>
      <c r="D223" t="str">
        <f>"ARD_MORTGAGE_BANKING_REVENUE"</f>
        <v>ARD_MORTGAGE_BANKING_REVENUE</v>
      </c>
      <c r="E223" t="str">
        <f t="shared" si="24"/>
        <v>Dynamic</v>
      </c>
      <c r="F223" t="e">
        <f ca="1">_xll.BDH($B$223,$C$223,$B$183,$B$184,CONCATENATE("Per=",$B$181),"Dts=H","Dir=H",CONCATENATE("Points=",$B$182),"Sort=R","Days=A","Fill=B",CONCATENATE("FX=", $B$180) )</f>
        <v>#NAME?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2:125">
      <c r="B224" t="str">
        <f>"WAL US Equity"</f>
        <v>WAL US Equity</v>
      </c>
      <c r="C224" t="str">
        <f>"RR209"</f>
        <v>RR209</v>
      </c>
      <c r="D224" t="str">
        <f>"NET_REV"</f>
        <v>NET_REV</v>
      </c>
      <c r="E224" t="str">
        <f t="shared" si="24"/>
        <v>Dynamic</v>
      </c>
      <c r="F224" t="e">
        <f ca="1">_xll.BDH($B$224,$C$224,$B$183,$B$184,CONCATENATE("Per=",$B$181),"Dts=H","Dir=H",CONCATENATE("Points=",$B$182),"Sort=R","Days=A","Fill=B",CONCATENATE("FX=", $B$180),"cols=60;rows=1")</f>
        <v>#NAME?</v>
      </c>
      <c r="G224">
        <v>823.1</v>
      </c>
      <c r="H224">
        <v>771.8</v>
      </c>
      <c r="I224">
        <v>728.8</v>
      </c>
      <c r="J224">
        <v>682.2</v>
      </c>
      <c r="K224">
        <v>716.2</v>
      </c>
      <c r="L224">
        <v>669.3</v>
      </c>
      <c r="M224">
        <v>551.9</v>
      </c>
      <c r="N224">
        <v>701.2</v>
      </c>
      <c r="O224">
        <v>663.9</v>
      </c>
      <c r="P224">
        <v>620</v>
      </c>
      <c r="Q224">
        <v>555.79999999999995</v>
      </c>
      <c r="R224">
        <v>561</v>
      </c>
      <c r="S224">
        <v>548.5</v>
      </c>
      <c r="T224">
        <v>506.5</v>
      </c>
      <c r="U224">
        <v>337</v>
      </c>
      <c r="V224">
        <v>338.6</v>
      </c>
      <c r="W224">
        <v>305.34399999999999</v>
      </c>
      <c r="X224">
        <v>319.67</v>
      </c>
      <c r="Y224">
        <v>274.12900000000002</v>
      </c>
      <c r="Z224">
        <v>288</v>
      </c>
      <c r="AA224">
        <v>285.863</v>
      </c>
      <c r="AB224">
        <v>268.899</v>
      </c>
      <c r="AC224">
        <v>262.74599999999998</v>
      </c>
      <c r="AD224">
        <v>257.12400000000002</v>
      </c>
      <c r="AE224">
        <v>238.45599999999999</v>
      </c>
      <c r="AF224">
        <v>237.55199999999999</v>
      </c>
      <c r="AG224">
        <v>225.863</v>
      </c>
      <c r="AH224">
        <v>224.71700000000001</v>
      </c>
      <c r="AI224">
        <v>212.03899999999999</v>
      </c>
      <c r="AJ224">
        <v>203.34399999999999</v>
      </c>
      <c r="AK224">
        <v>189.90799999999999</v>
      </c>
      <c r="AL224">
        <v>185.809</v>
      </c>
      <c r="AM224">
        <v>183.23</v>
      </c>
      <c r="AN224">
        <v>172.245</v>
      </c>
      <c r="AO224">
        <v>158.84399999999999</v>
      </c>
      <c r="AP224">
        <v>152.822</v>
      </c>
      <c r="AQ224">
        <v>145.90899999999999</v>
      </c>
      <c r="AR224">
        <v>114.26300000000001</v>
      </c>
      <c r="AS224">
        <v>109.041</v>
      </c>
      <c r="AT224">
        <v>110.562</v>
      </c>
      <c r="AU224">
        <v>104.146</v>
      </c>
      <c r="AV224">
        <v>99.497</v>
      </c>
      <c r="AW224">
        <v>95.35</v>
      </c>
      <c r="AX224">
        <v>91.537999999999997</v>
      </c>
      <c r="AY224">
        <v>88.688000000000002</v>
      </c>
      <c r="AZ224">
        <v>93.914000000000001</v>
      </c>
      <c r="BA224">
        <v>81.001999999999995</v>
      </c>
      <c r="BB224">
        <v>101.91800000000001</v>
      </c>
      <c r="BC224">
        <v>78.927999999999997</v>
      </c>
      <c r="BD224">
        <v>78.201999999999998</v>
      </c>
      <c r="BE224">
        <v>75.941000000000003</v>
      </c>
      <c r="BF224">
        <v>73.647000000000006</v>
      </c>
      <c r="BG224">
        <v>77.667000000000002</v>
      </c>
      <c r="BH224">
        <v>72.882999999999996</v>
      </c>
      <c r="BI224">
        <v>67.927999999999997</v>
      </c>
      <c r="BJ224">
        <v>60.191000000000003</v>
      </c>
      <c r="BK224">
        <v>71.635000000000005</v>
      </c>
      <c r="BL224">
        <v>78.215999999999994</v>
      </c>
      <c r="BM224">
        <v>69.346999999999994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>
      <c r="B225" t="str">
        <f>"ZION US Equity"</f>
        <v>ZION US Equity</v>
      </c>
      <c r="C225" t="str">
        <f>"A0621"</f>
        <v>A0621</v>
      </c>
      <c r="D225" t="str">
        <f>"ARD_MORTGAGE_BANKING_REVENUE"</f>
        <v>ARD_MORTGAGE_BANKING_REVENUE</v>
      </c>
      <c r="E225" t="str">
        <f t="shared" si="24"/>
        <v>Dynamic</v>
      </c>
      <c r="F225" t="e">
        <f ca="1">_xll.BDH($B$225,$C$225,$B$183,$B$184,CONCATENATE("Per=",$B$181),"Dts=H","Dir=H",CONCATENATE("Points=",$B$182),"Sort=R","Days=A","Fill=B",CONCATENATE("FX=", $B$180) )</f>
        <v>#NAME?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>
      <c r="B226" t="str">
        <f>"ZION US Equity"</f>
        <v>ZION US Equity</v>
      </c>
      <c r="C226" t="str">
        <f>"RR209"</f>
        <v>RR209</v>
      </c>
      <c r="D226" t="str">
        <f>"NET_REV"</f>
        <v>NET_REV</v>
      </c>
      <c r="E226" t="str">
        <f t="shared" si="24"/>
        <v>Dynamic</v>
      </c>
      <c r="F226" t="e">
        <f ca="1">_xll.BDH($B$226,$C$226,$B$183,$B$184,CONCATENATE("Per=",$B$181),"Dts=H","Dir=H",CONCATENATE("Points=",$B$182),"Sort=R","Days=A","Fill=B",CONCATENATE("FX=", $B$180),"cols=60;rows=1")</f>
        <v>#NAME?</v>
      </c>
      <c r="G226">
        <v>792</v>
      </c>
      <c r="H226">
        <v>776</v>
      </c>
      <c r="I226">
        <v>742</v>
      </c>
      <c r="J226">
        <v>731</v>
      </c>
      <c r="K226">
        <v>765</v>
      </c>
      <c r="L226">
        <v>780</v>
      </c>
      <c r="M226">
        <v>839</v>
      </c>
      <c r="N226">
        <v>873</v>
      </c>
      <c r="O226">
        <v>828</v>
      </c>
      <c r="P226">
        <v>765</v>
      </c>
      <c r="Q226">
        <v>686</v>
      </c>
      <c r="R226">
        <v>743</v>
      </c>
      <c r="S226">
        <v>694</v>
      </c>
      <c r="T226">
        <v>760</v>
      </c>
      <c r="U226">
        <v>714</v>
      </c>
      <c r="V226">
        <v>716</v>
      </c>
      <c r="W226">
        <v>712</v>
      </c>
      <c r="X226">
        <v>680</v>
      </c>
      <c r="Y226">
        <v>682</v>
      </c>
      <c r="Z226">
        <v>711</v>
      </c>
      <c r="AA226">
        <v>713</v>
      </c>
      <c r="AB226">
        <v>701</v>
      </c>
      <c r="AC226">
        <v>708</v>
      </c>
      <c r="AD226">
        <v>716</v>
      </c>
      <c r="AE226">
        <v>701</v>
      </c>
      <c r="AF226">
        <v>686</v>
      </c>
      <c r="AG226">
        <v>680</v>
      </c>
      <c r="AH226">
        <v>665</v>
      </c>
      <c r="AI226">
        <v>661</v>
      </c>
      <c r="AJ226">
        <v>660</v>
      </c>
      <c r="AK226">
        <v>621</v>
      </c>
      <c r="AL226">
        <v>608</v>
      </c>
      <c r="AM226">
        <v>614</v>
      </c>
      <c r="AN226">
        <v>590.56600000000003</v>
      </c>
      <c r="AO226">
        <v>569.60299999999995</v>
      </c>
      <c r="AP226">
        <v>572.89700000000005</v>
      </c>
      <c r="AQ226">
        <v>551.32100000000003</v>
      </c>
      <c r="AR226">
        <v>419.02199999999999</v>
      </c>
      <c r="AS226">
        <v>534.68399999999997</v>
      </c>
      <c r="AT226">
        <v>559.82600000000002</v>
      </c>
      <c r="AU226">
        <v>532.89</v>
      </c>
      <c r="AV226">
        <v>541.13300000000004</v>
      </c>
      <c r="AW226">
        <v>554.78399999999999</v>
      </c>
      <c r="AX226">
        <v>400.88499999999999</v>
      </c>
      <c r="AY226">
        <v>537.71100000000001</v>
      </c>
      <c r="AZ226">
        <v>555.80499999999995</v>
      </c>
      <c r="BA226">
        <v>539.33399999999995</v>
      </c>
      <c r="BB226">
        <v>484.11599999999999</v>
      </c>
      <c r="BC226">
        <v>563.38699999999994</v>
      </c>
      <c r="BD226">
        <v>555.00900000000001</v>
      </c>
      <c r="BE226">
        <v>549.298</v>
      </c>
      <c r="BF226">
        <v>560.21199999999999</v>
      </c>
      <c r="BG226">
        <v>591.63699999999994</v>
      </c>
      <c r="BH226">
        <v>544.52099999999996</v>
      </c>
      <c r="BI226">
        <v>557.99900000000002</v>
      </c>
      <c r="BJ226">
        <v>520.10699999999997</v>
      </c>
      <c r="BK226">
        <v>562.07500000000005</v>
      </c>
      <c r="BL226">
        <v>522.75900000000001</v>
      </c>
      <c r="BM226">
        <v>562.91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>
      <c r="A227" t="str">
        <f>$A$25</f>
        <v xml:space="preserve">    Bank of America Corp</v>
      </c>
      <c r="B227" t="str">
        <f>$B$25</f>
        <v>BAC US Equity</v>
      </c>
      <c r="C227" t="str">
        <f>$C$25</f>
        <v>A0621</v>
      </c>
      <c r="D227" t="str">
        <f>$D$25</f>
        <v>ARD_MORTGAGE_BANKING_REVENUE</v>
      </c>
      <c r="E227" t="str">
        <f>$E$25</f>
        <v>Dynamic</v>
      </c>
      <c r="F227" t="e">
        <f ca="1">_xll.BDH($B$25,$C$25,$B$183,$B$184,CONCATENATE("Per=",$B$181),"Dts=H","Dir=H",CONCATENATE("Points=",$B$182),"Sort=R","Days=A","Fill=B",CONCATENATE("FX=", $B$180),"cols=60;rows=1")</f>
        <v>#NAME?</v>
      </c>
      <c r="AL227">
        <v>519</v>
      </c>
      <c r="AM227">
        <v>589</v>
      </c>
      <c r="AN227">
        <v>312</v>
      </c>
      <c r="AO227">
        <v>433</v>
      </c>
      <c r="AP227">
        <v>262</v>
      </c>
      <c r="AQ227">
        <v>407</v>
      </c>
      <c r="AR227">
        <v>1001</v>
      </c>
      <c r="AS227">
        <v>694</v>
      </c>
      <c r="AT227">
        <v>352</v>
      </c>
      <c r="AU227">
        <v>272</v>
      </c>
      <c r="AV227">
        <v>527</v>
      </c>
      <c r="AW227">
        <v>412</v>
      </c>
      <c r="AX227">
        <v>848</v>
      </c>
      <c r="AY227">
        <v>585</v>
      </c>
      <c r="AZ227">
        <v>1178</v>
      </c>
      <c r="BA227">
        <v>1263</v>
      </c>
      <c r="BB227">
        <v>-540</v>
      </c>
      <c r="BC227">
        <v>2019</v>
      </c>
      <c r="BD227">
        <v>1659</v>
      </c>
      <c r="BE227">
        <v>1612</v>
      </c>
      <c r="BF227">
        <v>2119</v>
      </c>
      <c r="BG227">
        <v>1617</v>
      </c>
      <c r="BH227">
        <v>-13196</v>
      </c>
      <c r="BI227">
        <v>630</v>
      </c>
      <c r="BJ227">
        <v>-1419</v>
      </c>
      <c r="BK227">
        <v>1755</v>
      </c>
      <c r="BL227">
        <v>898</v>
      </c>
      <c r="BM227">
        <v>1500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>
      <c r="A228" t="str">
        <f>$A$26</f>
        <v xml:space="preserve">    Citigroup Inc</v>
      </c>
      <c r="B228" t="str">
        <f>$B$26</f>
        <v>C US Equity</v>
      </c>
      <c r="C228" t="str">
        <f>$C$26</f>
        <v>A0621</v>
      </c>
      <c r="D228" t="str">
        <f>$D$26</f>
        <v>ARD_MORTGAGE_BANKING_REVENUE</v>
      </c>
      <c r="E228" t="str">
        <f>$E$26</f>
        <v>Dynamic</v>
      </c>
      <c r="F228" t="e">
        <f ca="1">_xll.BDH($B$26,$C$26,$B$183,$B$184,CONCATENATE("Per=",$B$181),"Dts=H","Dir=H",CONCATENATE("Points=",$B$182),"Sort=R","Days=A","Fill=B",CONCATENATE("FX=", $B$180) )</f>
        <v>#NAME?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>
      <c r="A229" t="str">
        <f>$A$27</f>
        <v xml:space="preserve">    Citizens Financial Group Inc</v>
      </c>
      <c r="B229" t="str">
        <f>$B$27</f>
        <v>CFG US Equity</v>
      </c>
      <c r="C229" t="str">
        <f>$C$27</f>
        <v>A0621</v>
      </c>
      <c r="D229" t="str">
        <f>$D$27</f>
        <v>ARD_MORTGAGE_BANKING_REVENUE</v>
      </c>
      <c r="E229" t="str">
        <f>$E$27</f>
        <v>Dynamic</v>
      </c>
      <c r="F229" t="e">
        <f ca="1">_xll.BDH($B$27,$C$27,$B$183,$B$184,CONCATENATE("Per=",$B$181),"Dts=H","Dir=H",CONCATENATE("Points=",$B$182),"Sort=R","Days=A","Fill=B",CONCATENATE("FX=", $B$180),"cols=60;rows=1")</f>
        <v>#NAME?</v>
      </c>
      <c r="G229">
        <v>46</v>
      </c>
      <c r="H229">
        <v>54</v>
      </c>
      <c r="I229">
        <v>49</v>
      </c>
      <c r="J229">
        <v>57</v>
      </c>
      <c r="K229">
        <v>69</v>
      </c>
      <c r="L229">
        <v>59</v>
      </c>
      <c r="M229">
        <v>57</v>
      </c>
      <c r="N229">
        <v>54</v>
      </c>
      <c r="O229">
        <v>66</v>
      </c>
      <c r="P229">
        <v>72</v>
      </c>
      <c r="Q229">
        <v>69</v>
      </c>
      <c r="R229">
        <v>76</v>
      </c>
      <c r="S229">
        <v>108</v>
      </c>
      <c r="T229">
        <v>85</v>
      </c>
      <c r="U229">
        <v>165</v>
      </c>
      <c r="V229">
        <v>193</v>
      </c>
      <c r="W229">
        <v>287</v>
      </c>
      <c r="X229">
        <v>276</v>
      </c>
      <c r="Y229">
        <v>159</v>
      </c>
      <c r="Z229">
        <v>80</v>
      </c>
      <c r="AA229">
        <v>117</v>
      </c>
      <c r="AB229">
        <v>62</v>
      </c>
      <c r="AC229">
        <v>43</v>
      </c>
      <c r="AD229">
        <v>51</v>
      </c>
      <c r="AE229">
        <v>49</v>
      </c>
      <c r="AF229">
        <v>27</v>
      </c>
      <c r="AG229">
        <v>25</v>
      </c>
      <c r="AI229">
        <v>27</v>
      </c>
      <c r="AJ229">
        <v>30</v>
      </c>
      <c r="AK229">
        <v>23</v>
      </c>
      <c r="AL229">
        <v>36</v>
      </c>
      <c r="AM229">
        <v>33</v>
      </c>
      <c r="AN229">
        <v>25</v>
      </c>
      <c r="AO229">
        <v>18</v>
      </c>
      <c r="AP229">
        <v>20</v>
      </c>
      <c r="AQ229">
        <v>18</v>
      </c>
      <c r="AR229">
        <v>30</v>
      </c>
      <c r="AS229">
        <v>33</v>
      </c>
      <c r="AT229">
        <v>16</v>
      </c>
      <c r="AU229">
        <v>21</v>
      </c>
      <c r="AV229">
        <v>14</v>
      </c>
      <c r="AW229">
        <v>20</v>
      </c>
      <c r="AX229">
        <v>20</v>
      </c>
      <c r="AY229">
        <v>20</v>
      </c>
      <c r="BA229">
        <v>46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>
      <c r="A230" t="str">
        <f>$A$28</f>
        <v xml:space="preserve">    Capital One Financial Corp</v>
      </c>
      <c r="B230" t="str">
        <f>$B$28</f>
        <v>COF US Equity</v>
      </c>
      <c r="C230" t="str">
        <f>$C$28</f>
        <v>A0621</v>
      </c>
      <c r="D230" t="str">
        <f>$D$28</f>
        <v>ARD_MORTGAGE_BANKING_REVENUE</v>
      </c>
      <c r="E230" t="str">
        <f>$E$28</f>
        <v>Dynamic</v>
      </c>
      <c r="F230" t="e">
        <f ca="1">_xll.BDH($B$28,$C$28,$B$183,$B$184,CONCATENATE("Per=",$B$181),"Dts=H","Dir=H",CONCATENATE("Points=",$B$182),"Sort=R","Days=A","Fill=B",CONCATENATE("FX=", $B$180) )</f>
        <v>#NAME?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>
      <c r="A231" t="str">
        <f>$A$29</f>
        <v xml:space="preserve">    Comerica Inc</v>
      </c>
      <c r="B231" t="str">
        <f>$B$29</f>
        <v>CMA US Equity</v>
      </c>
      <c r="C231" t="str">
        <f>$C$29</f>
        <v>A0621</v>
      </c>
      <c r="D231" t="str">
        <f>$D$29</f>
        <v>ARD_MORTGAGE_BANKING_REVENUE</v>
      </c>
      <c r="E231" t="str">
        <f>$E$29</f>
        <v>Dynamic</v>
      </c>
      <c r="F231" t="e">
        <f ca="1">_xll.BDH($B$29,$C$29,$B$183,$B$184,CONCATENATE("Per=",$B$181),"Dts=H","Dir=H",CONCATENATE("Points=",$B$182),"Sort=R","Days=A","Fill=B",CONCATENATE("FX=", $B$180) )</f>
        <v>#NAME?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>
      <c r="A232" t="str">
        <f>$A$30</f>
        <v xml:space="preserve">    East West Bancorp Inc</v>
      </c>
      <c r="B232" t="str">
        <f>$B$30</f>
        <v>EWBC US Equity</v>
      </c>
      <c r="C232" t="str">
        <f>$C$30</f>
        <v>A0621</v>
      </c>
      <c r="D232" t="str">
        <f>$D$30</f>
        <v>ARD_MORTGAGE_BANKING_REVENUE</v>
      </c>
      <c r="E232" t="str">
        <f>$E$30</f>
        <v>Dynamic</v>
      </c>
      <c r="F232" t="e">
        <f ca="1">_xll.BDH($B$30,$C$30,$B$183,$B$184,CONCATENATE("Per=",$B$181),"Dts=H","Dir=H",CONCATENATE("Points=",$B$182),"Sort=R","Days=A","Fill=B",CONCATENATE("FX=", $B$180) )</f>
        <v>#NAME?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>
      <c r="A233" t="str">
        <f>$A$31</f>
        <v xml:space="preserve">    Fifth Third Bancorp</v>
      </c>
      <c r="B233" t="str">
        <f>$B$31</f>
        <v>FITB US Equity</v>
      </c>
      <c r="C233" t="str">
        <f>$C$31</f>
        <v>A0621</v>
      </c>
      <c r="D233" t="str">
        <f>$D$31</f>
        <v>ARD_MORTGAGE_BANKING_REVENUE</v>
      </c>
      <c r="E233" t="str">
        <f>$E$31</f>
        <v>Dynamic</v>
      </c>
      <c r="F233" t="e">
        <f ca="1">_xll.BDH($B$31,$C$31,$B$183,$B$184,CONCATENATE("Per=",$B$181),"Dts=H","Dir=H",CONCATENATE("Points=",$B$182),"Sort=R","Days=A","Fill=B",CONCATENATE("FX=", $B$180),"cols=60;rows=1")</f>
        <v>#NAME?</v>
      </c>
      <c r="G233">
        <v>50</v>
      </c>
      <c r="H233">
        <v>50</v>
      </c>
      <c r="I233">
        <v>54</v>
      </c>
      <c r="J233">
        <v>66</v>
      </c>
      <c r="K233">
        <v>57</v>
      </c>
      <c r="L233">
        <v>59</v>
      </c>
      <c r="M233">
        <v>69</v>
      </c>
      <c r="N233">
        <v>63</v>
      </c>
      <c r="O233">
        <v>69</v>
      </c>
      <c r="P233">
        <v>31</v>
      </c>
      <c r="Q233">
        <v>52</v>
      </c>
      <c r="R233">
        <v>35</v>
      </c>
      <c r="S233">
        <v>86</v>
      </c>
      <c r="T233">
        <v>64</v>
      </c>
      <c r="U233">
        <v>85</v>
      </c>
      <c r="V233">
        <v>25</v>
      </c>
      <c r="W233">
        <v>76</v>
      </c>
      <c r="X233">
        <v>99</v>
      </c>
      <c r="Y233">
        <v>120</v>
      </c>
      <c r="Z233">
        <v>73</v>
      </c>
      <c r="AA233">
        <v>95</v>
      </c>
      <c r="AB233">
        <v>63</v>
      </c>
      <c r="AC233">
        <v>56</v>
      </c>
      <c r="AD233">
        <v>54</v>
      </c>
      <c r="AE233">
        <v>49</v>
      </c>
      <c r="AF233">
        <v>53</v>
      </c>
      <c r="AG233">
        <v>56</v>
      </c>
      <c r="AH233">
        <v>54</v>
      </c>
      <c r="AI233">
        <v>63</v>
      </c>
      <c r="AJ233">
        <v>55</v>
      </c>
      <c r="AK233">
        <v>52</v>
      </c>
      <c r="AL233">
        <v>65</v>
      </c>
      <c r="AM233">
        <v>66</v>
      </c>
      <c r="AN233">
        <v>75</v>
      </c>
      <c r="AO233">
        <v>78</v>
      </c>
      <c r="AP233">
        <v>74</v>
      </c>
      <c r="AQ233">
        <v>71</v>
      </c>
      <c r="AR233">
        <v>117</v>
      </c>
      <c r="AS233">
        <v>86</v>
      </c>
      <c r="AT233">
        <v>61</v>
      </c>
      <c r="AU233">
        <v>61</v>
      </c>
      <c r="AV233">
        <v>78</v>
      </c>
      <c r="AW233">
        <v>109</v>
      </c>
      <c r="AX233">
        <v>126</v>
      </c>
      <c r="AY233">
        <v>121</v>
      </c>
      <c r="AZ233">
        <v>233</v>
      </c>
      <c r="BA233">
        <v>220</v>
      </c>
      <c r="BB233">
        <v>258</v>
      </c>
      <c r="BC233">
        <v>200</v>
      </c>
      <c r="BD233">
        <v>183</v>
      </c>
      <c r="BE233">
        <v>204</v>
      </c>
      <c r="BF233">
        <v>156</v>
      </c>
      <c r="BG233">
        <v>178</v>
      </c>
      <c r="BH233">
        <v>162</v>
      </c>
      <c r="BI233">
        <v>102</v>
      </c>
      <c r="BJ233">
        <v>149</v>
      </c>
      <c r="BK233">
        <v>232</v>
      </c>
      <c r="BL233">
        <v>114</v>
      </c>
      <c r="BM233">
        <v>152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>
      <c r="A234" t="str">
        <f>$A$32</f>
        <v xml:space="preserve">    First Citizens BancShares Inc/</v>
      </c>
      <c r="B234" t="str">
        <f>$B$32</f>
        <v>FCNCA US Equity</v>
      </c>
      <c r="C234" t="str">
        <f>$C$32</f>
        <v>A0621</v>
      </c>
      <c r="D234" t="str">
        <f>$D$32</f>
        <v>ARD_MORTGAGE_BANKING_REVENUE</v>
      </c>
      <c r="E234" t="str">
        <f>$E$32</f>
        <v>Dynamic</v>
      </c>
      <c r="F234" t="e">
        <f ca="1">_xll.BDH($B$32,$C$32,$B$183,$B$184,CONCATENATE("Per=",$B$181),"Dts=H","Dir=H",CONCATENATE("Points=",$B$182),"Sort=R","Days=A","Fill=B",CONCATENATE("FX=", $B$180) )</f>
        <v>#NAME?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>
      <c r="A235" t="str">
        <f>$A$33</f>
        <v xml:space="preserve">    Flagstar Financial Inc</v>
      </c>
      <c r="B235" t="str">
        <f>$B$33</f>
        <v>FLG US Equity</v>
      </c>
      <c r="C235" t="str">
        <f>$C$33</f>
        <v>A0621</v>
      </c>
      <c r="D235" t="str">
        <f>$D$33</f>
        <v>ARD_MORTGAGE_BANKING_REVENUE</v>
      </c>
      <c r="E235" t="str">
        <f>$E$33</f>
        <v>Dynamic</v>
      </c>
      <c r="F235" t="e">
        <f ca="1">_xll.BDH($B$33,$C$33,$B$183,$B$184,CONCATENATE("Per=",$B$181),"Dts=H","Dir=H",CONCATENATE("Points=",$B$182),"Sort=R","Days=A","Fill=B",CONCATENATE("FX=", $B$180),"cols=60;rows=1")</f>
        <v>#NAME?</v>
      </c>
      <c r="G235">
        <v>34</v>
      </c>
      <c r="H235">
        <v>19</v>
      </c>
      <c r="I235">
        <v>21</v>
      </c>
      <c r="K235">
        <v>23</v>
      </c>
      <c r="L235">
        <v>25</v>
      </c>
      <c r="M235">
        <v>22</v>
      </c>
      <c r="N235">
        <v>6</v>
      </c>
      <c r="V235">
        <v>0</v>
      </c>
      <c r="Z235">
        <v>0</v>
      </c>
      <c r="AB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1.486</v>
      </c>
      <c r="AJ235">
        <v>8.1959999999999997</v>
      </c>
      <c r="AK235">
        <v>9.7639999999999993</v>
      </c>
      <c r="AL235">
        <v>3.2610000000000001</v>
      </c>
      <c r="AM235">
        <v>12.925000000000001</v>
      </c>
      <c r="AN235">
        <v>6.9569999999999999</v>
      </c>
      <c r="AO235">
        <v>4.1379999999999999</v>
      </c>
      <c r="AP235">
        <v>12.265000000000001</v>
      </c>
      <c r="AQ235">
        <v>7.4740000000000002</v>
      </c>
      <c r="AR235">
        <v>15.968</v>
      </c>
      <c r="AS235">
        <v>18.405999999999999</v>
      </c>
      <c r="AT235">
        <v>16.446000000000002</v>
      </c>
      <c r="AU235">
        <v>16.606000000000002</v>
      </c>
      <c r="AV235">
        <v>15.291</v>
      </c>
      <c r="AW235">
        <v>14.61</v>
      </c>
      <c r="AX235">
        <v>12.753</v>
      </c>
      <c r="AY235">
        <v>16.204999999999998</v>
      </c>
      <c r="AZ235">
        <v>23.216000000000001</v>
      </c>
      <c r="BA235">
        <v>26.109000000000002</v>
      </c>
      <c r="BB235">
        <v>32.573999999999998</v>
      </c>
      <c r="BC235">
        <v>52.581000000000003</v>
      </c>
      <c r="BD235">
        <v>58.323</v>
      </c>
      <c r="BE235">
        <v>35.164999999999999</v>
      </c>
      <c r="BF235">
        <v>24.687999999999999</v>
      </c>
      <c r="BG235">
        <v>24.274000000000001</v>
      </c>
      <c r="BH235">
        <v>11.773999999999999</v>
      </c>
      <c r="BI235">
        <v>19.937999999999999</v>
      </c>
      <c r="BJ235">
        <v>40.386000000000003</v>
      </c>
      <c r="BK235">
        <v>76.465000000000003</v>
      </c>
      <c r="BL235">
        <v>39.499000000000002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>
      <c r="A236" t="str">
        <f>$A$34</f>
        <v xml:space="preserve">    Huntington Bancshares Inc/OH</v>
      </c>
      <c r="B236" t="str">
        <f>$B$34</f>
        <v>HBAN US Equity</v>
      </c>
      <c r="C236" t="str">
        <f>$C$34</f>
        <v>A0621</v>
      </c>
      <c r="D236" t="str">
        <f>$D$34</f>
        <v>ARD_MORTGAGE_BANKING_REVENUE</v>
      </c>
      <c r="E236" t="str">
        <f>$E$34</f>
        <v>Dynamic</v>
      </c>
      <c r="F236" t="e">
        <f ca="1">_xll.BDH($B$34,$C$34,$B$183,$B$184,CONCATENATE("Per=",$B$181),"Dts=H","Dir=H",CONCATENATE("Points=",$B$182),"Sort=R","Days=A","Fill=B",CONCATENATE("FX=", $B$180),"cols=60;rows=1")</f>
        <v>#NAME?</v>
      </c>
      <c r="G236">
        <v>38</v>
      </c>
      <c r="H236">
        <v>30</v>
      </c>
      <c r="I236">
        <v>31</v>
      </c>
      <c r="J236">
        <v>23</v>
      </c>
      <c r="K236">
        <v>27</v>
      </c>
      <c r="L236">
        <v>33</v>
      </c>
      <c r="M236">
        <v>26</v>
      </c>
      <c r="N236">
        <v>25</v>
      </c>
      <c r="O236">
        <v>26</v>
      </c>
      <c r="P236">
        <v>44</v>
      </c>
      <c r="Q236">
        <v>49</v>
      </c>
      <c r="R236">
        <v>61</v>
      </c>
      <c r="S236">
        <v>81</v>
      </c>
      <c r="T236">
        <v>67</v>
      </c>
      <c r="U236">
        <v>100</v>
      </c>
      <c r="V236">
        <v>90</v>
      </c>
      <c r="W236">
        <v>122</v>
      </c>
      <c r="X236">
        <v>96</v>
      </c>
      <c r="Y236">
        <v>58</v>
      </c>
      <c r="Z236">
        <v>58</v>
      </c>
      <c r="AA236">
        <v>54</v>
      </c>
      <c r="AB236">
        <v>34</v>
      </c>
      <c r="AC236">
        <v>21</v>
      </c>
      <c r="AD236">
        <v>23</v>
      </c>
      <c r="AE236">
        <v>31</v>
      </c>
      <c r="AF236">
        <v>28</v>
      </c>
      <c r="AG236">
        <v>26</v>
      </c>
      <c r="AH236">
        <v>33</v>
      </c>
      <c r="AI236">
        <v>34</v>
      </c>
      <c r="AJ236">
        <v>32</v>
      </c>
      <c r="AK236">
        <v>32</v>
      </c>
      <c r="AL236">
        <v>37.520000000000003</v>
      </c>
      <c r="AM236">
        <v>40.603000000000002</v>
      </c>
      <c r="AN236">
        <v>31.591000000000001</v>
      </c>
      <c r="AO236">
        <v>18.542999999999999</v>
      </c>
      <c r="AP236">
        <v>31.417999999999999</v>
      </c>
      <c r="AQ236">
        <v>18.956</v>
      </c>
      <c r="AR236">
        <v>38.518000000000001</v>
      </c>
      <c r="AS236">
        <v>22.960999999999999</v>
      </c>
      <c r="AT236">
        <v>14.03</v>
      </c>
      <c r="AU236">
        <v>25.050999999999998</v>
      </c>
      <c r="AV236">
        <v>22.716999999999999</v>
      </c>
      <c r="AW236">
        <v>23.088999999999999</v>
      </c>
      <c r="AX236">
        <v>24.327000000000002</v>
      </c>
      <c r="AY236">
        <v>23.620999999999999</v>
      </c>
      <c r="AZ236">
        <v>33.658999999999999</v>
      </c>
      <c r="BA236">
        <v>45.247999999999998</v>
      </c>
      <c r="BB236">
        <v>61.710999999999999</v>
      </c>
      <c r="BC236">
        <v>44.613999999999997</v>
      </c>
      <c r="BD236">
        <v>38.348999999999997</v>
      </c>
      <c r="BE236">
        <v>46.417999999999999</v>
      </c>
      <c r="BF236">
        <v>24.097999999999999</v>
      </c>
      <c r="BG236">
        <v>12.791</v>
      </c>
      <c r="BH236">
        <v>23.835000000000001</v>
      </c>
      <c r="BI236">
        <v>22.684000000000001</v>
      </c>
      <c r="BJ236">
        <v>53.168999999999997</v>
      </c>
      <c r="BK236">
        <v>52.045000000000002</v>
      </c>
      <c r="BL236">
        <v>45.53</v>
      </c>
      <c r="BM236">
        <v>25.038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>
      <c r="A237" t="str">
        <f>$A$35</f>
        <v xml:space="preserve">    JPMorgan Chase &amp; Co</v>
      </c>
      <c r="B237" t="str">
        <f>$B$35</f>
        <v>JPM US Equity</v>
      </c>
      <c r="C237" t="str">
        <f>$C$35</f>
        <v>A0621</v>
      </c>
      <c r="D237" t="str">
        <f>$D$35</f>
        <v>ARD_MORTGAGE_BANKING_REVENUE</v>
      </c>
      <c r="E237" t="str">
        <f>$E$35</f>
        <v>Dynamic</v>
      </c>
      <c r="F237" t="e">
        <f ca="1">_xll.BDH($B$35,$C$35,$B$183,$B$184,CONCATENATE("Per=",$B$181),"Dts=H","Dir=H",CONCATENATE("Points=",$B$182),"Sort=R","Days=A","Fill=B",CONCATENATE("FX=", $B$180),"cols=60;rows=1")</f>
        <v>#NAME?</v>
      </c>
      <c r="G237">
        <v>402</v>
      </c>
      <c r="H237">
        <v>348</v>
      </c>
      <c r="I237">
        <v>275</v>
      </c>
      <c r="J237">
        <v>263</v>
      </c>
      <c r="K237">
        <v>414</v>
      </c>
      <c r="L237">
        <v>278</v>
      </c>
      <c r="M237">
        <v>221</v>
      </c>
      <c r="N237">
        <v>98</v>
      </c>
      <c r="O237">
        <v>314</v>
      </c>
      <c r="P237">
        <v>378</v>
      </c>
      <c r="Q237">
        <v>460</v>
      </c>
      <c r="R237">
        <v>315</v>
      </c>
      <c r="S237">
        <v>600</v>
      </c>
      <c r="T237">
        <v>551</v>
      </c>
      <c r="U237">
        <v>704</v>
      </c>
      <c r="V237">
        <v>767</v>
      </c>
      <c r="W237">
        <v>1087</v>
      </c>
      <c r="X237">
        <v>917</v>
      </c>
      <c r="Y237">
        <v>320</v>
      </c>
      <c r="AA237">
        <v>887</v>
      </c>
      <c r="AB237">
        <v>279</v>
      </c>
      <c r="AC237">
        <v>396</v>
      </c>
      <c r="AD237">
        <v>203</v>
      </c>
      <c r="AE237">
        <v>262</v>
      </c>
      <c r="AF237">
        <v>324</v>
      </c>
      <c r="AG237">
        <v>465</v>
      </c>
      <c r="AH237">
        <v>377</v>
      </c>
      <c r="AI237">
        <v>429</v>
      </c>
      <c r="AJ237">
        <v>404</v>
      </c>
      <c r="AK237">
        <v>406</v>
      </c>
      <c r="AL237">
        <v>511</v>
      </c>
      <c r="AM237">
        <v>624</v>
      </c>
      <c r="AN237">
        <v>689</v>
      </c>
      <c r="AO237">
        <v>667</v>
      </c>
      <c r="AP237">
        <v>556</v>
      </c>
      <c r="AQ237">
        <v>469</v>
      </c>
      <c r="AR237">
        <v>783</v>
      </c>
      <c r="AS237">
        <v>705</v>
      </c>
      <c r="AT237">
        <v>855</v>
      </c>
      <c r="AU237">
        <v>903</v>
      </c>
      <c r="AV237">
        <v>1291</v>
      </c>
      <c r="AW237">
        <v>514</v>
      </c>
      <c r="AX237">
        <v>1089</v>
      </c>
      <c r="AY237">
        <v>841</v>
      </c>
      <c r="AZ237">
        <v>1823</v>
      </c>
      <c r="BA237">
        <v>1452</v>
      </c>
      <c r="BB237">
        <v>2035</v>
      </c>
      <c r="BC237">
        <v>2377</v>
      </c>
      <c r="BD237">
        <v>2265</v>
      </c>
      <c r="BE237">
        <v>2010</v>
      </c>
      <c r="BF237">
        <v>725</v>
      </c>
      <c r="BG237">
        <v>1380</v>
      </c>
      <c r="BH237">
        <v>1103</v>
      </c>
      <c r="BI237">
        <v>-487</v>
      </c>
      <c r="BJ237">
        <v>1617</v>
      </c>
      <c r="BK237">
        <v>707</v>
      </c>
      <c r="BL237">
        <v>888</v>
      </c>
      <c r="BM237">
        <v>658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>
      <c r="A238" t="str">
        <f>$A$36</f>
        <v xml:space="preserve">    KeyCorp</v>
      </c>
      <c r="B238" t="str">
        <f>$B$36</f>
        <v>KEY US Equity</v>
      </c>
      <c r="C238" t="str">
        <f>$C$36</f>
        <v>A0621</v>
      </c>
      <c r="D238" t="str">
        <f>$D$36</f>
        <v>ARD_MORTGAGE_BANKING_REVENUE</v>
      </c>
      <c r="E238" t="str">
        <f>$E$36</f>
        <v>Dynamic</v>
      </c>
      <c r="F238" t="e">
        <f ca="1">_xll.BDH($B$36,$C$36,$B$183,$B$184,CONCATENATE("Per=",$B$181),"Dts=H","Dir=H",CONCATENATE("Points=",$B$182),"Sort=R","Days=A","Fill=B",CONCATENATE("FX=", $B$180),"cols=60;rows=1")</f>
        <v>#NAME?</v>
      </c>
      <c r="G238">
        <v>12</v>
      </c>
      <c r="H238">
        <v>16</v>
      </c>
      <c r="I238">
        <v>14</v>
      </c>
      <c r="J238">
        <v>11</v>
      </c>
      <c r="K238">
        <v>15</v>
      </c>
      <c r="L238">
        <v>14</v>
      </c>
      <c r="M238">
        <v>11</v>
      </c>
      <c r="N238">
        <v>9</v>
      </c>
      <c r="O238">
        <v>14</v>
      </c>
      <c r="P238">
        <v>14</v>
      </c>
      <c r="Q238">
        <v>21</v>
      </c>
      <c r="R238">
        <v>25</v>
      </c>
      <c r="S238">
        <v>33</v>
      </c>
      <c r="T238">
        <v>26</v>
      </c>
      <c r="U238">
        <v>47</v>
      </c>
      <c r="V238">
        <v>43</v>
      </c>
      <c r="W238">
        <v>51</v>
      </c>
      <c r="X238">
        <v>62</v>
      </c>
      <c r="Y238">
        <v>20</v>
      </c>
      <c r="Z238">
        <v>21</v>
      </c>
      <c r="AA238">
        <v>16</v>
      </c>
      <c r="AB238">
        <v>15</v>
      </c>
      <c r="AC238">
        <v>8</v>
      </c>
      <c r="AE238">
        <v>9</v>
      </c>
      <c r="AF238">
        <v>7</v>
      </c>
      <c r="AG238">
        <v>7</v>
      </c>
      <c r="AH238">
        <v>7</v>
      </c>
      <c r="AI238">
        <v>7</v>
      </c>
      <c r="AJ238">
        <v>6</v>
      </c>
      <c r="AK238">
        <v>6</v>
      </c>
      <c r="AL238">
        <v>6</v>
      </c>
      <c r="AM238">
        <v>6</v>
      </c>
      <c r="AN238">
        <v>3</v>
      </c>
      <c r="AO238">
        <v>2</v>
      </c>
      <c r="AP238">
        <v>2</v>
      </c>
      <c r="AQ238">
        <v>3</v>
      </c>
      <c r="AR238">
        <v>4</v>
      </c>
      <c r="AS238">
        <v>3</v>
      </c>
      <c r="AT238">
        <v>3</v>
      </c>
      <c r="AU238">
        <v>3</v>
      </c>
      <c r="AV238">
        <v>2</v>
      </c>
      <c r="AW238">
        <v>2</v>
      </c>
      <c r="AX238">
        <v>3</v>
      </c>
      <c r="AY238">
        <v>3</v>
      </c>
      <c r="AZ238">
        <v>6</v>
      </c>
      <c r="BA238">
        <v>7</v>
      </c>
      <c r="BB238">
        <v>11</v>
      </c>
      <c r="BC238">
        <v>11</v>
      </c>
      <c r="BD238">
        <v>9</v>
      </c>
      <c r="BE238">
        <v>9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>
      <c r="A239" t="str">
        <f>$A$37</f>
        <v xml:space="preserve">    M&amp;T Bank Corp</v>
      </c>
      <c r="B239" t="str">
        <f>$B$37</f>
        <v>MTB US Equity</v>
      </c>
      <c r="C239" t="str">
        <f>$C$37</f>
        <v>A0621</v>
      </c>
      <c r="D239" t="str">
        <f>$D$37</f>
        <v>ARD_MORTGAGE_BANKING_REVENUE</v>
      </c>
      <c r="E239" t="str">
        <f>$E$37</f>
        <v>Dynamic</v>
      </c>
      <c r="F239" t="e">
        <f ca="1">_xll.BDH($B$37,$C$37,$B$183,$B$184,CONCATENATE("Per=",$B$181),"Dts=H","Dir=H",CONCATENATE("Points=",$B$182),"Sort=R","Days=A","Fill=B",CONCATENATE("FX=", $B$180),"cols=60;rows=1")</f>
        <v>#NAME?</v>
      </c>
      <c r="G239">
        <v>109</v>
      </c>
      <c r="H239">
        <v>106</v>
      </c>
      <c r="I239">
        <v>104</v>
      </c>
      <c r="J239">
        <v>112</v>
      </c>
      <c r="K239">
        <v>104.47799999999999</v>
      </c>
      <c r="L239">
        <v>107.11199999999999</v>
      </c>
      <c r="M239">
        <v>84.984999999999999</v>
      </c>
      <c r="N239">
        <v>81.521000000000001</v>
      </c>
      <c r="O239">
        <v>83.040999999999997</v>
      </c>
      <c r="P239">
        <v>82.926000000000002</v>
      </c>
      <c r="Q239">
        <v>109.148</v>
      </c>
      <c r="R239">
        <v>139.267</v>
      </c>
      <c r="S239">
        <v>159.995</v>
      </c>
      <c r="T239">
        <v>133.31299999999999</v>
      </c>
      <c r="U239">
        <v>138.75399999999999</v>
      </c>
      <c r="V239">
        <v>140.441</v>
      </c>
      <c r="W239">
        <v>153.267</v>
      </c>
      <c r="X239">
        <v>145.024</v>
      </c>
      <c r="Y239">
        <v>127.90900000000001</v>
      </c>
      <c r="Z239">
        <v>118.134</v>
      </c>
      <c r="AA239">
        <v>137.00399999999999</v>
      </c>
      <c r="AB239">
        <v>107.321</v>
      </c>
      <c r="AC239">
        <v>95.311000000000007</v>
      </c>
      <c r="AD239">
        <v>92.228999999999999</v>
      </c>
      <c r="AE239">
        <v>88.408000000000001</v>
      </c>
      <c r="AF239">
        <v>92.498999999999995</v>
      </c>
      <c r="AG239">
        <v>87.305999999999997</v>
      </c>
      <c r="AH239">
        <v>96.234999999999999</v>
      </c>
      <c r="AI239">
        <v>96.736999999999995</v>
      </c>
      <c r="AJ239">
        <v>86.162999999999997</v>
      </c>
      <c r="AK239">
        <v>84.691999999999993</v>
      </c>
      <c r="AL239">
        <v>98.504000000000005</v>
      </c>
      <c r="AM239">
        <v>103.747</v>
      </c>
      <c r="AN239">
        <v>89.382999999999996</v>
      </c>
      <c r="AO239">
        <v>82.063000000000002</v>
      </c>
      <c r="AP239">
        <v>87.5</v>
      </c>
      <c r="AQ239">
        <v>84.034999999999997</v>
      </c>
      <c r="AR239">
        <v>102.602</v>
      </c>
      <c r="AS239">
        <v>101.601</v>
      </c>
      <c r="AT239">
        <v>93.674999999999997</v>
      </c>
      <c r="AU239">
        <v>93.531999999999996</v>
      </c>
      <c r="AV239">
        <v>95.656000000000006</v>
      </c>
      <c r="AW239">
        <v>80.049000000000007</v>
      </c>
      <c r="AX239">
        <v>82.168999999999997</v>
      </c>
      <c r="AY239">
        <v>64.730999999999995</v>
      </c>
      <c r="AZ239">
        <v>91.262</v>
      </c>
      <c r="BA239">
        <v>93.102999999999994</v>
      </c>
      <c r="BB239">
        <v>116.54600000000001</v>
      </c>
      <c r="BC239">
        <v>106.812</v>
      </c>
      <c r="BD239">
        <v>69.513999999999996</v>
      </c>
      <c r="BE239">
        <v>56.192</v>
      </c>
      <c r="BF239">
        <v>40.573</v>
      </c>
      <c r="BG239">
        <v>38.140999999999998</v>
      </c>
      <c r="BH239">
        <v>42.151000000000003</v>
      </c>
      <c r="BI239">
        <v>45.155999999999999</v>
      </c>
      <c r="BJ239">
        <v>35.012999999999998</v>
      </c>
      <c r="BK239">
        <v>61.052</v>
      </c>
      <c r="BL239">
        <v>47.084000000000003</v>
      </c>
      <c r="BM239">
        <v>41.475999999999999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>
      <c r="A240" t="str">
        <f>$A$38</f>
        <v xml:space="preserve">    PNC Financial Services Group I</v>
      </c>
      <c r="B240" t="str">
        <f>$B$38</f>
        <v>PNC US Equity</v>
      </c>
      <c r="C240" t="str">
        <f>$C$38</f>
        <v>A0621</v>
      </c>
      <c r="D240" t="str">
        <f>$D$38</f>
        <v>ARD_MORTGAGE_BANKING_REVENUE</v>
      </c>
      <c r="E240" t="str">
        <f>$E$38</f>
        <v>Dynamic</v>
      </c>
      <c r="F240" t="e">
        <f ca="1">_xll.BDH($B$38,$C$38,$B$183,$B$184,CONCATENATE("Per=",$B$181),"Dts=H","Dir=H",CONCATENATE("Points=",$B$182),"Sort=R","Days=A","Fill=B",CONCATENATE("FX=", $B$180),"cols=60;rows=1")</f>
        <v>#NAME?</v>
      </c>
      <c r="G240">
        <v>181</v>
      </c>
      <c r="H240">
        <v>131</v>
      </c>
      <c r="I240">
        <v>147</v>
      </c>
      <c r="J240">
        <v>149</v>
      </c>
      <c r="K240">
        <v>201</v>
      </c>
      <c r="L240">
        <v>98</v>
      </c>
      <c r="M240">
        <v>177</v>
      </c>
      <c r="N240">
        <v>184</v>
      </c>
      <c r="O240">
        <v>143</v>
      </c>
      <c r="P240">
        <v>161</v>
      </c>
      <c r="Q240">
        <v>159</v>
      </c>
      <c r="R240">
        <v>209</v>
      </c>
      <c r="S240">
        <v>248</v>
      </c>
      <c r="T240">
        <v>206</v>
      </c>
      <c r="U240">
        <v>187</v>
      </c>
      <c r="V240">
        <v>99</v>
      </c>
      <c r="W240">
        <v>137</v>
      </c>
      <c r="X240">
        <v>158</v>
      </c>
      <c r="Y240">
        <v>210</v>
      </c>
      <c r="Z240">
        <v>87</v>
      </c>
      <c r="AA240">
        <v>134</v>
      </c>
      <c r="AB240">
        <v>82</v>
      </c>
      <c r="AC240">
        <v>65</v>
      </c>
      <c r="AD240">
        <v>59</v>
      </c>
      <c r="AE240">
        <v>76</v>
      </c>
      <c r="AF240">
        <v>84</v>
      </c>
      <c r="AG240">
        <v>97</v>
      </c>
      <c r="AH240">
        <v>29</v>
      </c>
      <c r="AI240">
        <v>104</v>
      </c>
      <c r="AJ240">
        <v>104</v>
      </c>
      <c r="AK240">
        <v>113</v>
      </c>
      <c r="AL240">
        <v>142</v>
      </c>
      <c r="AM240">
        <v>160</v>
      </c>
      <c r="AN240">
        <v>165</v>
      </c>
      <c r="AO240">
        <v>100</v>
      </c>
      <c r="AP240">
        <v>113</v>
      </c>
      <c r="AQ240">
        <v>125</v>
      </c>
      <c r="AR240">
        <v>164</v>
      </c>
      <c r="AS240">
        <v>164</v>
      </c>
      <c r="AT240">
        <v>135</v>
      </c>
      <c r="AU240">
        <v>140</v>
      </c>
      <c r="AV240">
        <v>182</v>
      </c>
      <c r="AW240">
        <v>161</v>
      </c>
      <c r="AX240">
        <v>271</v>
      </c>
      <c r="AY240">
        <v>199</v>
      </c>
      <c r="AZ240">
        <v>167</v>
      </c>
      <c r="BA240">
        <v>234</v>
      </c>
      <c r="BB240">
        <v>0</v>
      </c>
      <c r="BC240">
        <v>227</v>
      </c>
      <c r="BD240">
        <v>-173</v>
      </c>
      <c r="BE240">
        <v>230</v>
      </c>
      <c r="BF240">
        <v>157</v>
      </c>
      <c r="BG240">
        <v>198</v>
      </c>
      <c r="BH240">
        <v>163</v>
      </c>
      <c r="BI240">
        <v>195</v>
      </c>
      <c r="BJ240">
        <v>157</v>
      </c>
      <c r="BK240">
        <v>216</v>
      </c>
      <c r="BL240">
        <v>179</v>
      </c>
      <c r="BM240">
        <v>147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>
      <c r="A241" t="str">
        <f>$A$39</f>
        <v xml:space="preserve">    Regions Financial Corp</v>
      </c>
      <c r="B241" t="str">
        <f>$B$39</f>
        <v>RF US Equity</v>
      </c>
      <c r="C241" t="str">
        <f>$C$39</f>
        <v>A0621</v>
      </c>
      <c r="D241" t="str">
        <f>$D$39</f>
        <v>ARD_MORTGAGE_BANKING_REVENUE</v>
      </c>
      <c r="E241" t="str">
        <f>$E$39</f>
        <v>Dynamic</v>
      </c>
      <c r="F241" t="e">
        <f ca="1">_xll.BDH($B$39,$C$39,$B$183,$B$184,CONCATENATE("Per=",$B$181),"Dts=H","Dir=H",CONCATENATE("Points=",$B$182),"Sort=R","Days=A","Fill=B",CONCATENATE("FX=", $B$180),"cols=60;rows=1")</f>
        <v>#NAME?</v>
      </c>
      <c r="G241">
        <v>36</v>
      </c>
      <c r="H241">
        <v>34</v>
      </c>
      <c r="I241">
        <v>41</v>
      </c>
      <c r="J241">
        <v>31</v>
      </c>
      <c r="K241">
        <v>28</v>
      </c>
      <c r="L241">
        <v>26</v>
      </c>
      <c r="M241">
        <v>24</v>
      </c>
      <c r="N241">
        <v>24</v>
      </c>
      <c r="O241">
        <v>37</v>
      </c>
      <c r="P241">
        <v>47</v>
      </c>
      <c r="Q241">
        <v>48</v>
      </c>
      <c r="R241">
        <v>49</v>
      </c>
      <c r="S241">
        <v>50</v>
      </c>
      <c r="T241">
        <v>53</v>
      </c>
      <c r="U241">
        <v>90</v>
      </c>
      <c r="V241">
        <v>51</v>
      </c>
      <c r="W241">
        <v>108</v>
      </c>
      <c r="X241">
        <v>82</v>
      </c>
      <c r="Y241">
        <v>68</v>
      </c>
      <c r="Z241">
        <v>49</v>
      </c>
      <c r="AA241">
        <v>56</v>
      </c>
      <c r="AB241">
        <v>31</v>
      </c>
      <c r="AC241">
        <v>27</v>
      </c>
      <c r="AD241">
        <v>30</v>
      </c>
      <c r="AE241">
        <v>32</v>
      </c>
      <c r="AF241">
        <v>37</v>
      </c>
      <c r="AG241">
        <v>38</v>
      </c>
      <c r="AI241">
        <v>32</v>
      </c>
      <c r="AJ241">
        <v>40</v>
      </c>
      <c r="AK241">
        <v>41</v>
      </c>
      <c r="AM241">
        <v>46</v>
      </c>
      <c r="AN241">
        <v>46</v>
      </c>
      <c r="AO241">
        <v>38</v>
      </c>
      <c r="AP241">
        <v>37</v>
      </c>
      <c r="AQ241">
        <v>39</v>
      </c>
      <c r="AR241">
        <v>46</v>
      </c>
      <c r="AS241">
        <v>40</v>
      </c>
      <c r="AT241">
        <v>27</v>
      </c>
      <c r="AU241">
        <v>39</v>
      </c>
      <c r="AV241">
        <v>43</v>
      </c>
      <c r="AW241">
        <v>40</v>
      </c>
      <c r="AX241">
        <v>43</v>
      </c>
      <c r="AY241">
        <v>52</v>
      </c>
      <c r="AZ241">
        <v>69</v>
      </c>
      <c r="BA241">
        <v>72</v>
      </c>
      <c r="BB241">
        <v>90</v>
      </c>
      <c r="BC241">
        <v>106</v>
      </c>
      <c r="BD241">
        <v>90</v>
      </c>
      <c r="BE241">
        <v>77</v>
      </c>
      <c r="BF241">
        <v>57</v>
      </c>
      <c r="BG241">
        <v>68</v>
      </c>
      <c r="BH241">
        <v>50</v>
      </c>
      <c r="BI241">
        <v>45</v>
      </c>
      <c r="BJ241">
        <v>51</v>
      </c>
      <c r="BK241">
        <v>66</v>
      </c>
      <c r="BL241">
        <v>63</v>
      </c>
      <c r="BM241">
        <v>67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>
      <c r="A242" t="str">
        <f>$A$40</f>
        <v xml:space="preserve">    Truist Financial Corp</v>
      </c>
      <c r="B242" t="str">
        <f>$B$40</f>
        <v>TFC US Equity</v>
      </c>
      <c r="C242" t="str">
        <f>$C$40</f>
        <v>A0621</v>
      </c>
      <c r="D242" t="str">
        <f>$D$40</f>
        <v>ARD_MORTGAGE_BANKING_REVENUE</v>
      </c>
      <c r="E242" t="str">
        <f>$E$40</f>
        <v>Dynamic</v>
      </c>
      <c r="F242" t="e">
        <f ca="1">_xll.BDH($B$40,$C$40,$B$183,$B$184,CONCATENATE("Per=",$B$181),"Dts=H","Dir=H",CONCATENATE("Points=",$B$182),"Sort=R","Days=A","Fill=B",CONCATENATE("FX=", $B$180),"cols=60;rows=1")</f>
        <v>#NAME?</v>
      </c>
      <c r="G242">
        <v>106</v>
      </c>
      <c r="H242">
        <v>112</v>
      </c>
      <c r="I242">
        <v>97</v>
      </c>
      <c r="J242">
        <v>94</v>
      </c>
      <c r="K242">
        <v>102</v>
      </c>
      <c r="L242">
        <v>99</v>
      </c>
      <c r="M242">
        <v>142</v>
      </c>
      <c r="O242">
        <v>122</v>
      </c>
      <c r="P242">
        <v>74</v>
      </c>
      <c r="Q242">
        <v>89</v>
      </c>
      <c r="S242">
        <v>179</v>
      </c>
      <c r="T242">
        <v>117</v>
      </c>
      <c r="U242">
        <v>100</v>
      </c>
      <c r="W242">
        <v>221</v>
      </c>
      <c r="X242">
        <v>341</v>
      </c>
      <c r="Y242">
        <v>245</v>
      </c>
      <c r="Z242">
        <v>65</v>
      </c>
      <c r="AA242">
        <v>80</v>
      </c>
      <c r="AB242">
        <v>91</v>
      </c>
      <c r="AC242">
        <v>49</v>
      </c>
      <c r="AD242">
        <v>58</v>
      </c>
      <c r="AE242">
        <v>79</v>
      </c>
      <c r="AF242">
        <v>94</v>
      </c>
      <c r="AG242">
        <v>99</v>
      </c>
      <c r="AH242">
        <v>104</v>
      </c>
      <c r="AI242">
        <v>114</v>
      </c>
      <c r="AJ242">
        <v>94</v>
      </c>
      <c r="AK242">
        <v>103</v>
      </c>
      <c r="AL242">
        <v>107</v>
      </c>
      <c r="AM242">
        <v>154</v>
      </c>
      <c r="AN242">
        <v>111</v>
      </c>
      <c r="AO242">
        <v>91</v>
      </c>
      <c r="AP242">
        <v>104</v>
      </c>
      <c r="AQ242">
        <v>111</v>
      </c>
      <c r="AR242">
        <v>130</v>
      </c>
      <c r="AS242">
        <v>110</v>
      </c>
      <c r="AT242">
        <v>128</v>
      </c>
      <c r="AU242">
        <v>107</v>
      </c>
      <c r="AV242">
        <v>86</v>
      </c>
      <c r="AW242">
        <v>74</v>
      </c>
      <c r="AX242">
        <v>100</v>
      </c>
      <c r="AY242">
        <v>117</v>
      </c>
      <c r="AZ242">
        <v>168</v>
      </c>
      <c r="BA242">
        <v>180</v>
      </c>
      <c r="BB242">
        <v>231</v>
      </c>
      <c r="BC242">
        <v>211</v>
      </c>
      <c r="BD242">
        <v>182</v>
      </c>
      <c r="BE242">
        <v>216</v>
      </c>
      <c r="BF242">
        <v>135</v>
      </c>
      <c r="BG242">
        <v>123</v>
      </c>
      <c r="BH242">
        <v>83</v>
      </c>
      <c r="BI242">
        <v>95</v>
      </c>
      <c r="BJ242">
        <v>138</v>
      </c>
      <c r="BK242">
        <v>184</v>
      </c>
      <c r="BL242">
        <v>110</v>
      </c>
      <c r="BM242">
        <v>89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>
      <c r="A243" t="str">
        <f>$A$41</f>
        <v xml:space="preserve">    US Bancorp</v>
      </c>
      <c r="B243" t="str">
        <f>$B$41</f>
        <v>USB US Equity</v>
      </c>
      <c r="C243" t="str">
        <f>$C$41</f>
        <v>A0621</v>
      </c>
      <c r="D243" t="str">
        <f>$D$41</f>
        <v>ARD_MORTGAGE_BANKING_REVENUE</v>
      </c>
      <c r="E243" t="str">
        <f>$E$41</f>
        <v>Dynamic</v>
      </c>
      <c r="F243" t="e">
        <f ca="1">_xll.BDH($B$41,$C$41,$B$183,$B$184,CONCATENATE("Per=",$B$181),"Dts=H","Dir=H",CONCATENATE("Points=",$B$182),"Sort=R","Days=A","Fill=B",CONCATENATE("FX=", $B$180),"cols=60;rows=1")</f>
        <v>#NAME?</v>
      </c>
      <c r="G243">
        <v>155</v>
      </c>
      <c r="H243">
        <v>190</v>
      </c>
      <c r="I243">
        <v>166</v>
      </c>
      <c r="J243">
        <v>137</v>
      </c>
      <c r="K243">
        <v>144</v>
      </c>
      <c r="L243">
        <v>131</v>
      </c>
      <c r="M243">
        <v>128</v>
      </c>
      <c r="N243">
        <v>104</v>
      </c>
      <c r="O243">
        <v>81</v>
      </c>
      <c r="P243">
        <v>142</v>
      </c>
      <c r="Q243">
        <v>200</v>
      </c>
      <c r="R243">
        <v>298</v>
      </c>
      <c r="S243">
        <v>418</v>
      </c>
      <c r="T243">
        <v>346</v>
      </c>
      <c r="U243">
        <v>299</v>
      </c>
      <c r="V243">
        <v>468</v>
      </c>
      <c r="W243">
        <v>553</v>
      </c>
      <c r="X243">
        <v>648</v>
      </c>
      <c r="Y243">
        <v>395</v>
      </c>
      <c r="Z243">
        <v>244</v>
      </c>
      <c r="AA243">
        <v>272</v>
      </c>
      <c r="AB243">
        <v>189</v>
      </c>
      <c r="AC243">
        <v>169</v>
      </c>
      <c r="AD243">
        <v>171</v>
      </c>
      <c r="AE243">
        <v>174</v>
      </c>
      <c r="AF243">
        <v>191</v>
      </c>
      <c r="AG243">
        <v>184</v>
      </c>
      <c r="AH243">
        <v>202</v>
      </c>
      <c r="AI243">
        <v>213</v>
      </c>
      <c r="AJ243">
        <v>212</v>
      </c>
      <c r="AK243">
        <v>207</v>
      </c>
      <c r="AL243">
        <v>240</v>
      </c>
      <c r="AM243">
        <v>314</v>
      </c>
      <c r="AN243">
        <v>238</v>
      </c>
      <c r="AO243">
        <v>187</v>
      </c>
      <c r="AP243">
        <v>211</v>
      </c>
      <c r="AQ243">
        <v>224</v>
      </c>
      <c r="AR243">
        <v>231</v>
      </c>
      <c r="AS243">
        <v>240</v>
      </c>
      <c r="AT243">
        <v>235</v>
      </c>
      <c r="AU243">
        <v>260</v>
      </c>
      <c r="AV243">
        <v>278</v>
      </c>
      <c r="AW243">
        <v>236</v>
      </c>
      <c r="AX243">
        <v>231</v>
      </c>
      <c r="AY243">
        <v>328</v>
      </c>
      <c r="AZ243">
        <v>396</v>
      </c>
      <c r="BA243">
        <v>401</v>
      </c>
      <c r="BB243">
        <v>476</v>
      </c>
      <c r="BC243">
        <v>519</v>
      </c>
      <c r="BD243">
        <v>490</v>
      </c>
      <c r="BE243">
        <v>452</v>
      </c>
      <c r="BF243">
        <v>303</v>
      </c>
      <c r="BG243">
        <v>245</v>
      </c>
      <c r="BH243">
        <v>239</v>
      </c>
      <c r="BI243">
        <v>199</v>
      </c>
      <c r="BJ243">
        <v>250</v>
      </c>
      <c r="BK243">
        <v>310</v>
      </c>
      <c r="BL243">
        <v>243</v>
      </c>
      <c r="BM243">
        <v>200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>
      <c r="A244" t="str">
        <f>$A$42</f>
        <v xml:space="preserve">    Wells Fargo &amp; Co</v>
      </c>
      <c r="B244" t="str">
        <f>$B$42</f>
        <v>WFC US Equity</v>
      </c>
      <c r="C244" t="str">
        <f>$C$42</f>
        <v>A0621</v>
      </c>
      <c r="D244" t="str">
        <f>$D$42</f>
        <v>ARD_MORTGAGE_BANKING_REVENUE</v>
      </c>
      <c r="E244" t="str">
        <f>$E$42</f>
        <v>Dynamic</v>
      </c>
      <c r="F244" t="e">
        <f ca="1">_xll.BDH($B$42,$C$42,$B$183,$B$184,CONCATENATE("Per=",$B$181),"Dts=H","Dir=H",CONCATENATE("Points=",$B$182),"Sort=R","Days=A","Fill=B",CONCATENATE("FX=", $B$180),"cols=60;rows=1")</f>
        <v>#NAME?</v>
      </c>
      <c r="G244">
        <v>280</v>
      </c>
      <c r="H244">
        <v>243</v>
      </c>
      <c r="I244">
        <v>230</v>
      </c>
      <c r="J244">
        <v>202</v>
      </c>
      <c r="K244">
        <v>193</v>
      </c>
      <c r="L244">
        <v>202</v>
      </c>
      <c r="M244">
        <v>232</v>
      </c>
      <c r="N244">
        <v>79</v>
      </c>
      <c r="O244">
        <v>324</v>
      </c>
      <c r="P244">
        <v>287</v>
      </c>
      <c r="Q244">
        <v>693</v>
      </c>
      <c r="R244">
        <v>1035</v>
      </c>
      <c r="S244">
        <v>1259</v>
      </c>
      <c r="T244">
        <v>1336</v>
      </c>
      <c r="U244">
        <v>1326</v>
      </c>
      <c r="V244">
        <v>1207</v>
      </c>
      <c r="W244">
        <v>1590</v>
      </c>
      <c r="X244">
        <v>317</v>
      </c>
      <c r="Y244">
        <v>379</v>
      </c>
      <c r="Z244">
        <v>783</v>
      </c>
      <c r="AA244">
        <v>466</v>
      </c>
      <c r="AB244">
        <v>758</v>
      </c>
      <c r="AC244">
        <v>708</v>
      </c>
      <c r="AD244">
        <v>467</v>
      </c>
      <c r="AE244">
        <v>846</v>
      </c>
      <c r="AF244">
        <v>770</v>
      </c>
      <c r="AG244">
        <v>934</v>
      </c>
      <c r="AH244">
        <v>928</v>
      </c>
      <c r="AI244">
        <v>1046</v>
      </c>
      <c r="AJ244">
        <v>1148</v>
      </c>
      <c r="AK244">
        <v>1228</v>
      </c>
      <c r="AL244">
        <v>1417</v>
      </c>
      <c r="AM244">
        <v>1667</v>
      </c>
      <c r="AN244">
        <v>1414</v>
      </c>
      <c r="AO244">
        <v>1598</v>
      </c>
      <c r="AP244">
        <v>1660</v>
      </c>
      <c r="AQ244">
        <v>1589</v>
      </c>
      <c r="AR244">
        <v>1705</v>
      </c>
      <c r="AS244">
        <v>1547</v>
      </c>
      <c r="AT244">
        <v>1515</v>
      </c>
      <c r="AU244">
        <v>1633</v>
      </c>
      <c r="AV244">
        <v>1723</v>
      </c>
      <c r="AW244">
        <v>1510</v>
      </c>
      <c r="AX244">
        <v>1570</v>
      </c>
      <c r="AY244">
        <v>1608</v>
      </c>
      <c r="AZ244">
        <v>2802</v>
      </c>
      <c r="BA244">
        <v>2794</v>
      </c>
      <c r="BB244">
        <v>3068</v>
      </c>
      <c r="BC244">
        <v>2807</v>
      </c>
      <c r="BD244">
        <v>2893</v>
      </c>
      <c r="BE244">
        <v>2870</v>
      </c>
      <c r="BF244">
        <v>2364</v>
      </c>
      <c r="BG244">
        <v>1833</v>
      </c>
      <c r="BH244">
        <v>1619</v>
      </c>
      <c r="BI244">
        <v>2016</v>
      </c>
      <c r="BJ244">
        <v>2757</v>
      </c>
      <c r="BK244">
        <v>2499</v>
      </c>
      <c r="BL244">
        <v>2011</v>
      </c>
      <c r="BM244">
        <v>2470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>
      <c r="A245" t="str">
        <f>$A$43</f>
        <v xml:space="preserve">    Western Alliance Bancorp</v>
      </c>
      <c r="B245" t="str">
        <f>$B$43</f>
        <v>WAL US Equity</v>
      </c>
      <c r="C245" t="str">
        <f>$C$43</f>
        <v>A0621</v>
      </c>
      <c r="D245" t="str">
        <f>$D$43</f>
        <v>ARD_MORTGAGE_BANKING_REVENUE</v>
      </c>
      <c r="E245" t="str">
        <f>$E$43</f>
        <v>Dynamic</v>
      </c>
      <c r="F245" t="e">
        <f ca="1">_xll.BDH($B$43,$C$43,$B$183,$B$184,CONCATENATE("Per=",$B$181),"Dts=H","Dir=H",CONCATENATE("Points=",$B$182),"Sort=R","Days=A","Fill=B",CONCATENATE("FX=", $B$180) )</f>
        <v>#NAME?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>
      <c r="A246" t="str">
        <f>$A$44</f>
        <v xml:space="preserve">    Zions Bancorp NA</v>
      </c>
      <c r="B246" t="str">
        <f>$B$44</f>
        <v>ZION US Equity</v>
      </c>
      <c r="C246" t="str">
        <f>$C$44</f>
        <v>A0621</v>
      </c>
      <c r="D246" t="str">
        <f>$D$44</f>
        <v>ARD_MORTGAGE_BANKING_REVENUE</v>
      </c>
      <c r="E246" t="str">
        <f>$E$44</f>
        <v>Dynamic</v>
      </c>
      <c r="F246" t="e">
        <f ca="1">_xll.BDH($B$44,$C$44,$B$183,$B$184,CONCATENATE("Per=",$B$181),"Dts=H","Dir=H",CONCATENATE("Points=",$B$182),"Sort=R","Days=A","Fill=B",CONCATENATE("FX=", $B$180) )</f>
        <v>#NAME?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>
      <c r="A247" t="str">
        <f>$A$46</f>
        <v xml:space="preserve">    BancorpSouth Inc</v>
      </c>
      <c r="B247" t="str">
        <f>$B$46</f>
        <v>BXS US Equity</v>
      </c>
      <c r="C247" t="str">
        <f>$C$46</f>
        <v>IS688</v>
      </c>
      <c r="D247" t="str">
        <f>$D$46</f>
        <v>IS_RESIDENTIAL_MTG_ORIGINATIONS</v>
      </c>
      <c r="E247" t="str">
        <f>$E$46</f>
        <v>Dynamic</v>
      </c>
      <c r="F247" t="e">
        <f ca="1">_xll.BDH($B$46,$C$46,$B$183,$B$184,CONCATENATE("Per=",$B$181),"Dts=H","Dir=H",CONCATENATE("Points=",$B$182),"Sort=R","Days=A","Fill=B",CONCATENATE("FX=", $B$180),"cols=60;rows=1")</f>
        <v>#NAME?</v>
      </c>
      <c r="G247">
        <v>8.1999999999999993</v>
      </c>
      <c r="H247">
        <v>7.2</v>
      </c>
      <c r="I247">
        <v>6.5</v>
      </c>
      <c r="J247">
        <v>434.7</v>
      </c>
      <c r="K247">
        <v>848.9</v>
      </c>
      <c r="L247">
        <v>6.8</v>
      </c>
      <c r="M247">
        <v>8.4</v>
      </c>
      <c r="N247">
        <v>554.5</v>
      </c>
      <c r="O247">
        <v>769.9</v>
      </c>
      <c r="P247">
        <v>913</v>
      </c>
      <c r="Q247">
        <v>803.9</v>
      </c>
      <c r="R247">
        <v>817.9</v>
      </c>
      <c r="S247">
        <v>788.9</v>
      </c>
      <c r="T247">
        <v>906.4</v>
      </c>
      <c r="U247">
        <v>789.8</v>
      </c>
      <c r="V247">
        <v>845.9</v>
      </c>
      <c r="W247">
        <v>0</v>
      </c>
      <c r="X247">
        <v>989</v>
      </c>
      <c r="Y247">
        <v>477.1</v>
      </c>
      <c r="Z247">
        <v>504.9</v>
      </c>
      <c r="AA247">
        <v>536.1</v>
      </c>
      <c r="AB247">
        <v>495.5</v>
      </c>
      <c r="AC247">
        <v>291.7</v>
      </c>
      <c r="AD247">
        <v>305</v>
      </c>
      <c r="AE247">
        <v>384.8</v>
      </c>
      <c r="AF247">
        <v>523.70000000000005</v>
      </c>
      <c r="AG247">
        <v>291.89999999999998</v>
      </c>
      <c r="AH247">
        <v>308.39999999999998</v>
      </c>
      <c r="AI247">
        <v>342.4</v>
      </c>
      <c r="AJ247">
        <v>385.9</v>
      </c>
      <c r="AK247">
        <v>288</v>
      </c>
      <c r="AL247">
        <v>395.9</v>
      </c>
      <c r="AM247">
        <v>478.2</v>
      </c>
      <c r="AN247">
        <v>463</v>
      </c>
      <c r="AO247">
        <v>315</v>
      </c>
      <c r="AP247">
        <v>309.5</v>
      </c>
      <c r="AQ247">
        <v>402.2</v>
      </c>
      <c r="AR247">
        <v>417.2</v>
      </c>
      <c r="AS247">
        <v>311.10000000000002</v>
      </c>
      <c r="AT247">
        <v>256.3</v>
      </c>
      <c r="AU247">
        <v>305.7</v>
      </c>
      <c r="AV247">
        <v>291</v>
      </c>
      <c r="AW247">
        <v>197.1</v>
      </c>
      <c r="AX247">
        <v>222.3</v>
      </c>
      <c r="AY247">
        <v>341.9</v>
      </c>
      <c r="AZ247">
        <v>435</v>
      </c>
      <c r="BA247">
        <v>426</v>
      </c>
      <c r="BB247">
        <v>549.4</v>
      </c>
      <c r="BC247">
        <v>607.9</v>
      </c>
      <c r="BD247">
        <v>444</v>
      </c>
      <c r="BE247">
        <v>395</v>
      </c>
      <c r="BF247">
        <v>390.2</v>
      </c>
      <c r="BG247">
        <v>374.8</v>
      </c>
      <c r="BH247">
        <v>245</v>
      </c>
      <c r="BI247">
        <v>203</v>
      </c>
      <c r="BJ247">
        <v>452</v>
      </c>
      <c r="BL247">
        <v>291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>
      <c r="A248" t="str">
        <f>$A$47</f>
        <v xml:space="preserve">    Bank of America Corp</v>
      </c>
      <c r="B248" t="str">
        <f>$B$47</f>
        <v>BAC US Equity</v>
      </c>
      <c r="C248" t="str">
        <f>$C$47</f>
        <v>IS688</v>
      </c>
      <c r="D248" t="str">
        <f>$D$47</f>
        <v>IS_RESIDENTIAL_MTG_ORIGINATIONS</v>
      </c>
      <c r="E248" t="str">
        <f>$E$47</f>
        <v>Dynamic</v>
      </c>
      <c r="F248" t="e">
        <f ca="1">_xll.BDH($B$47,$C$47,$B$183,$B$184,CONCATENATE("Per=",$B$181),"Dts=H","Dir=H",CONCATENATE("Points=",$B$182),"Sort=R","Days=A","Fill=B",CONCATENATE("FX=", $B$180),"cols=60;rows=1")</f>
        <v>#NAME?</v>
      </c>
      <c r="G248">
        <v>7637</v>
      </c>
      <c r="H248">
        <v>8121</v>
      </c>
      <c r="I248">
        <v>5334</v>
      </c>
      <c r="J248">
        <v>6187</v>
      </c>
      <c r="K248">
        <v>8017</v>
      </c>
      <c r="L248">
        <v>8482</v>
      </c>
      <c r="M248">
        <v>6533</v>
      </c>
      <c r="N248">
        <v>7813</v>
      </c>
      <c r="O248">
        <v>11144</v>
      </c>
      <c r="P248">
        <v>17006</v>
      </c>
      <c r="Q248">
        <v>18393</v>
      </c>
      <c r="R248">
        <v>24664</v>
      </c>
      <c r="S248">
        <v>22755</v>
      </c>
      <c r="T248">
        <v>21432</v>
      </c>
      <c r="U248">
        <v>15736</v>
      </c>
      <c r="V248">
        <v>14133</v>
      </c>
      <c r="W248">
        <v>14344</v>
      </c>
      <c r="X248">
        <v>26807</v>
      </c>
      <c r="Y248">
        <v>21962</v>
      </c>
      <c r="Z248">
        <v>25113</v>
      </c>
      <c r="AA248">
        <v>23203</v>
      </c>
      <c r="AB248">
        <v>20997</v>
      </c>
      <c r="AC248">
        <v>14285</v>
      </c>
      <c r="AD248">
        <v>13057</v>
      </c>
      <c r="AE248">
        <v>14081</v>
      </c>
      <c r="AF248">
        <v>15753</v>
      </c>
      <c r="AG248">
        <v>13173</v>
      </c>
      <c r="AH248">
        <v>16758</v>
      </c>
      <c r="AI248">
        <v>17316</v>
      </c>
      <c r="AJ248">
        <v>17936</v>
      </c>
      <c r="AK248">
        <v>15495</v>
      </c>
      <c r="AL248">
        <v>21916</v>
      </c>
      <c r="AM248">
        <v>20406</v>
      </c>
      <c r="AN248">
        <v>20617</v>
      </c>
      <c r="AO248">
        <v>16428</v>
      </c>
      <c r="AP248">
        <v>17037</v>
      </c>
      <c r="AQ248">
        <v>16852</v>
      </c>
      <c r="AR248">
        <v>19171</v>
      </c>
      <c r="AS248">
        <v>16930</v>
      </c>
      <c r="AT248">
        <v>15036</v>
      </c>
      <c r="AU248">
        <v>14949</v>
      </c>
      <c r="AV248">
        <v>13701</v>
      </c>
      <c r="AW248">
        <v>10833</v>
      </c>
      <c r="AX248">
        <v>13539</v>
      </c>
      <c r="AY248">
        <v>24429</v>
      </c>
      <c r="AZ248">
        <v>26772</v>
      </c>
      <c r="BA248">
        <v>25036</v>
      </c>
      <c r="BB248">
        <v>22478</v>
      </c>
      <c r="BC248">
        <v>21248</v>
      </c>
      <c r="BD248">
        <v>18935</v>
      </c>
      <c r="BE248">
        <v>15998</v>
      </c>
      <c r="BF248">
        <v>22373</v>
      </c>
      <c r="BG248">
        <v>33885</v>
      </c>
      <c r="BH248">
        <v>41424</v>
      </c>
      <c r="BI248">
        <v>58462</v>
      </c>
      <c r="BJ248">
        <v>86810</v>
      </c>
      <c r="BK248">
        <v>74061</v>
      </c>
      <c r="BL248">
        <v>74075</v>
      </c>
      <c r="BM248">
        <v>71529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>
      <c r="A249" t="str">
        <f>$A$48</f>
        <v xml:space="preserve">    BB&amp;T Corp</v>
      </c>
      <c r="B249" t="str">
        <f>$B$48</f>
        <v>BBT US Equity</v>
      </c>
      <c r="C249" t="str">
        <f>$C$48</f>
        <v>IS688</v>
      </c>
      <c r="D249" t="str">
        <f>$D$48</f>
        <v>IS_RESIDENTIAL_MTG_ORIGINATIONS</v>
      </c>
      <c r="E249" t="str">
        <f>$E$48</f>
        <v>Dynamic</v>
      </c>
      <c r="F249" t="e">
        <f ca="1">_xll.BDH($B$48,$C$48,$B$183,$B$184,CONCATENATE("Per=",$B$181),"Dts=H","Dir=H",CONCATENATE("Points=",$B$182),"Sort=R","Days=A","Fill=B",CONCATENATE("FX=", $B$180) )</f>
        <v>#NAME?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>
      <c r="A250" t="str">
        <f>$A$49</f>
        <v xml:space="preserve">    Citigroup Inc</v>
      </c>
      <c r="B250" t="str">
        <f>$B$49</f>
        <v>C US Equity</v>
      </c>
      <c r="C250" t="str">
        <f>$C$49</f>
        <v>IS688</v>
      </c>
      <c r="D250" t="str">
        <f>$D$49</f>
        <v>IS_RESIDENTIAL_MTG_ORIGINATIONS</v>
      </c>
      <c r="E250" t="str">
        <f>$E$49</f>
        <v>Dynamic</v>
      </c>
      <c r="F250" t="e">
        <f ca="1">_xll.BDH($B$49,$C$49,$B$183,$B$184,CONCATENATE("Per=",$B$181),"Dts=H","Dir=H",CONCATENATE("Points=",$B$182),"Sort=R","Days=A","Fill=B",CONCATENATE("FX=", $B$180),"cols=60;rows=1")</f>
        <v>#NAME?</v>
      </c>
      <c r="G250">
        <v>4600</v>
      </c>
      <c r="H250">
        <v>4300</v>
      </c>
      <c r="I250">
        <v>3100</v>
      </c>
      <c r="J250">
        <v>2800</v>
      </c>
      <c r="K250">
        <v>3900</v>
      </c>
      <c r="L250">
        <v>4500</v>
      </c>
      <c r="M250">
        <v>3300</v>
      </c>
      <c r="N250">
        <v>2700</v>
      </c>
      <c r="O250">
        <v>4200</v>
      </c>
      <c r="P250">
        <v>4100</v>
      </c>
      <c r="Q250">
        <v>3100</v>
      </c>
      <c r="R250">
        <v>4800</v>
      </c>
      <c r="S250">
        <v>3400</v>
      </c>
      <c r="T250">
        <v>5600</v>
      </c>
      <c r="U250">
        <v>5700</v>
      </c>
      <c r="V250">
        <v>6600</v>
      </c>
      <c r="W250">
        <v>6600</v>
      </c>
      <c r="X250">
        <v>6400</v>
      </c>
      <c r="Y250">
        <v>4100</v>
      </c>
      <c r="Z250">
        <v>6000</v>
      </c>
      <c r="AA250">
        <v>5000</v>
      </c>
      <c r="AB250">
        <v>3900</v>
      </c>
      <c r="AC250">
        <v>2000</v>
      </c>
      <c r="AD250">
        <v>2300</v>
      </c>
      <c r="AE250">
        <v>2700</v>
      </c>
      <c r="AF250">
        <v>2600</v>
      </c>
      <c r="AG250">
        <v>2300</v>
      </c>
      <c r="AH250">
        <v>3000</v>
      </c>
      <c r="AI250">
        <v>3200</v>
      </c>
      <c r="AJ250">
        <v>3100</v>
      </c>
      <c r="AK250">
        <v>3800</v>
      </c>
      <c r="AL250">
        <v>5600</v>
      </c>
      <c r="AM250">
        <v>6500</v>
      </c>
      <c r="AN250">
        <v>6400</v>
      </c>
      <c r="AO250">
        <v>5500</v>
      </c>
      <c r="AP250">
        <v>6200</v>
      </c>
      <c r="AQ250">
        <v>7500</v>
      </c>
      <c r="AR250">
        <v>8800</v>
      </c>
      <c r="AS250">
        <v>7000</v>
      </c>
      <c r="AT250">
        <v>6700</v>
      </c>
      <c r="AU250">
        <v>7100</v>
      </c>
      <c r="AV250">
        <v>6200</v>
      </c>
      <c r="AW250">
        <v>5200</v>
      </c>
      <c r="AX250">
        <v>8300</v>
      </c>
      <c r="AY250">
        <v>14500</v>
      </c>
      <c r="AZ250">
        <v>17200</v>
      </c>
      <c r="BA250">
        <v>18000</v>
      </c>
      <c r="BB250">
        <v>16800</v>
      </c>
      <c r="BC250">
        <v>14500</v>
      </c>
      <c r="BD250">
        <v>12900</v>
      </c>
      <c r="BE250">
        <v>14300</v>
      </c>
      <c r="BF250">
        <v>21100</v>
      </c>
      <c r="BG250">
        <v>17000</v>
      </c>
      <c r="BH250">
        <v>11000</v>
      </c>
      <c r="BI250">
        <v>14100</v>
      </c>
      <c r="BJ250">
        <v>21800</v>
      </c>
      <c r="BK250">
        <v>18600</v>
      </c>
      <c r="BL250">
        <v>10300</v>
      </c>
      <c r="BM250">
        <v>10300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>
      <c r="A251" t="str">
        <f>$A$50</f>
        <v xml:space="preserve">    Fifth Third Bancorp</v>
      </c>
      <c r="B251" t="str">
        <f>$B$50</f>
        <v>FITB US Equity</v>
      </c>
      <c r="C251" t="str">
        <f>$C$50</f>
        <v>IS688</v>
      </c>
      <c r="D251" t="str">
        <f>$D$50</f>
        <v>IS_RESIDENTIAL_MTG_ORIGINATIONS</v>
      </c>
      <c r="E251" t="str">
        <f>$E$50</f>
        <v>Dynamic</v>
      </c>
      <c r="F251" t="e">
        <f ca="1">_xll.BDH($B$50,$C$50,$B$183,$B$184,CONCATENATE("Per=",$B$181),"Dts=H","Dir=H",CONCATENATE("Points=",$B$182),"Sort=R","Days=A","Fill=B",CONCATENATE("FX=", $B$180),"cols=60;rows=1")</f>
        <v>#NAME?</v>
      </c>
      <c r="G251">
        <v>1900</v>
      </c>
      <c r="H251">
        <v>1600</v>
      </c>
      <c r="I251">
        <v>1100</v>
      </c>
      <c r="J251">
        <v>1000</v>
      </c>
      <c r="K251">
        <v>1500</v>
      </c>
      <c r="L251">
        <v>1700</v>
      </c>
      <c r="M251">
        <v>1400</v>
      </c>
      <c r="N251">
        <v>2300</v>
      </c>
      <c r="O251">
        <v>4000</v>
      </c>
      <c r="P251">
        <v>4300</v>
      </c>
      <c r="Q251">
        <v>3500</v>
      </c>
      <c r="R251">
        <v>4300</v>
      </c>
      <c r="S251">
        <v>5000</v>
      </c>
      <c r="T251">
        <v>5000</v>
      </c>
      <c r="U251">
        <v>4700</v>
      </c>
      <c r="V251">
        <v>3900</v>
      </c>
      <c r="W251">
        <v>4500</v>
      </c>
      <c r="X251">
        <v>3400</v>
      </c>
      <c r="Y251">
        <v>4000</v>
      </c>
      <c r="Z251">
        <v>3800</v>
      </c>
      <c r="AA251">
        <v>3400</v>
      </c>
      <c r="AB251">
        <v>2900</v>
      </c>
      <c r="AC251">
        <v>1600</v>
      </c>
      <c r="AD251">
        <v>1600</v>
      </c>
      <c r="AE251">
        <v>1900</v>
      </c>
      <c r="AF251">
        <v>2100</v>
      </c>
      <c r="AG251">
        <v>1600</v>
      </c>
      <c r="AH251">
        <v>1900</v>
      </c>
      <c r="AI251">
        <v>2100</v>
      </c>
      <c r="AJ251">
        <v>2300</v>
      </c>
      <c r="AK251">
        <v>1900</v>
      </c>
      <c r="AL251">
        <v>2700</v>
      </c>
      <c r="AM251">
        <v>2900</v>
      </c>
      <c r="AN251">
        <v>2700</v>
      </c>
      <c r="AO251">
        <v>1800</v>
      </c>
      <c r="AP251">
        <v>1800</v>
      </c>
      <c r="AQ251">
        <v>2300</v>
      </c>
      <c r="AR251">
        <v>2500</v>
      </c>
      <c r="AS251">
        <v>1800</v>
      </c>
      <c r="AT251">
        <v>1700</v>
      </c>
      <c r="AU251">
        <v>2100</v>
      </c>
      <c r="AV251">
        <v>2000</v>
      </c>
      <c r="AW251">
        <v>1700</v>
      </c>
      <c r="AX251">
        <v>2600</v>
      </c>
      <c r="AY251">
        <v>4800</v>
      </c>
      <c r="AZ251">
        <v>7500</v>
      </c>
      <c r="BA251">
        <v>7400</v>
      </c>
      <c r="BB251">
        <v>7000</v>
      </c>
      <c r="BC251">
        <v>5800</v>
      </c>
      <c r="BD251">
        <v>5900</v>
      </c>
      <c r="BE251">
        <v>6400</v>
      </c>
      <c r="BF251">
        <v>7100</v>
      </c>
      <c r="BG251">
        <v>4500</v>
      </c>
      <c r="BH251">
        <v>3100</v>
      </c>
      <c r="BI251">
        <v>3900</v>
      </c>
      <c r="BJ251">
        <v>7400</v>
      </c>
      <c r="BK251">
        <v>5600</v>
      </c>
      <c r="BL251">
        <v>3800</v>
      </c>
      <c r="BM251">
        <v>3500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>
      <c r="A252" t="str">
        <f>$A$51</f>
        <v xml:space="preserve">    First Horizon National Corp</v>
      </c>
      <c r="B252" t="str">
        <f>$B$51</f>
        <v>FHN US Equity</v>
      </c>
      <c r="C252" t="str">
        <f>$C$51</f>
        <v>IS688</v>
      </c>
      <c r="D252" t="str">
        <f>$D$51</f>
        <v>IS_RESIDENTIAL_MTG_ORIGINATIONS</v>
      </c>
      <c r="E252" t="str">
        <f>$E$51</f>
        <v>Dynamic</v>
      </c>
      <c r="F252" t="e">
        <f ca="1">_xll.BDH($B$51,$C$51,$B$183,$B$184,CONCATENATE("Per=",$B$181),"Dts=H","Dir=H",CONCATENATE("Points=",$B$182),"Sort=R","Days=A","Fill=B",CONCATENATE("FX=", $B$180),"cols=60;rows=1")</f>
        <v>#NAME?</v>
      </c>
      <c r="BK252">
        <v>225</v>
      </c>
      <c r="BL252">
        <v>176</v>
      </c>
      <c r="BM252">
        <v>185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>
      <c r="A253" t="str">
        <f>$A$52</f>
        <v xml:space="preserve">    Huntington Bancshares Inc/OH</v>
      </c>
      <c r="B253" t="str">
        <f>$B$52</f>
        <v>HBAN US Equity</v>
      </c>
      <c r="C253" t="str">
        <f>$C$52</f>
        <v>IS688</v>
      </c>
      <c r="D253" t="str">
        <f>$D$52</f>
        <v>IS_RESIDENTIAL_MTG_ORIGINATIONS</v>
      </c>
      <c r="E253" t="str">
        <f>$E$52</f>
        <v>Dynamic</v>
      </c>
      <c r="F253" t="e">
        <f ca="1">_xll.BDH($B$52,$C$52,$B$183,$B$184,CONCATENATE("Per=",$B$181),"Dts=H","Dir=H",CONCATENATE("Points=",$B$182),"Sort=R","Days=A","Fill=B",CONCATENATE("FX=", $B$180),"cols=60;rows=1")</f>
        <v>#NAME?</v>
      </c>
      <c r="G253">
        <v>1883</v>
      </c>
      <c r="H253">
        <v>2164</v>
      </c>
      <c r="I253">
        <v>1276</v>
      </c>
      <c r="J253">
        <v>1666</v>
      </c>
      <c r="K253">
        <v>2020</v>
      </c>
      <c r="L253">
        <v>2504</v>
      </c>
      <c r="M253">
        <v>1412</v>
      </c>
      <c r="N253">
        <v>1719</v>
      </c>
      <c r="O253">
        <v>2491</v>
      </c>
      <c r="P253">
        <v>3366</v>
      </c>
      <c r="Q253">
        <v>2881</v>
      </c>
      <c r="R253">
        <v>3880</v>
      </c>
      <c r="S253">
        <v>4467</v>
      </c>
      <c r="T253">
        <v>4007</v>
      </c>
      <c r="U253">
        <v>4042</v>
      </c>
      <c r="V253">
        <v>3741</v>
      </c>
      <c r="W253">
        <v>3811</v>
      </c>
      <c r="X253">
        <v>3802</v>
      </c>
      <c r="Y253">
        <v>2136</v>
      </c>
      <c r="Z253">
        <v>2490</v>
      </c>
      <c r="AA253">
        <v>2097</v>
      </c>
      <c r="AB253">
        <v>1922</v>
      </c>
      <c r="AC253">
        <v>1235</v>
      </c>
      <c r="AD253">
        <v>1538</v>
      </c>
      <c r="AE253">
        <v>1818</v>
      </c>
      <c r="AF253">
        <v>2127</v>
      </c>
      <c r="AG253">
        <v>1513</v>
      </c>
      <c r="AH253">
        <v>1784</v>
      </c>
      <c r="AI253">
        <v>1828</v>
      </c>
      <c r="AJ253">
        <v>1756</v>
      </c>
      <c r="AK253">
        <v>1266</v>
      </c>
      <c r="AL253">
        <v>1542</v>
      </c>
      <c r="AM253">
        <v>1745</v>
      </c>
      <c r="AN253">
        <v>1599</v>
      </c>
      <c r="AO253">
        <v>936</v>
      </c>
      <c r="AP253">
        <v>1011</v>
      </c>
      <c r="AQ253">
        <v>1258</v>
      </c>
      <c r="AR253">
        <v>1455</v>
      </c>
      <c r="AS253">
        <v>980</v>
      </c>
      <c r="AT253">
        <v>922</v>
      </c>
      <c r="AU253">
        <v>997</v>
      </c>
      <c r="AV253">
        <v>982</v>
      </c>
      <c r="AW253">
        <v>657</v>
      </c>
      <c r="AX253">
        <v>841</v>
      </c>
      <c r="AY253">
        <v>1176</v>
      </c>
      <c r="AZ253">
        <v>1282</v>
      </c>
      <c r="BA253">
        <v>1119</v>
      </c>
      <c r="BB253">
        <v>1161</v>
      </c>
      <c r="BC253">
        <v>1224</v>
      </c>
      <c r="BD253">
        <v>2448</v>
      </c>
      <c r="BE253">
        <v>1157</v>
      </c>
      <c r="BF253">
        <v>1123</v>
      </c>
      <c r="BG253">
        <v>953</v>
      </c>
      <c r="BH253">
        <v>916</v>
      </c>
      <c r="BI253">
        <v>929</v>
      </c>
      <c r="BK253">
        <v>1619</v>
      </c>
      <c r="BL253">
        <v>1161</v>
      </c>
      <c r="BM253">
        <v>869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>
      <c r="A254" t="str">
        <f>$A$53</f>
        <v xml:space="preserve">    JPMorgan Chase &amp; Co</v>
      </c>
      <c r="B254" t="str">
        <f>$B$53</f>
        <v>JPM US Equity</v>
      </c>
      <c r="C254" t="str">
        <f>$C$53</f>
        <v>IS688</v>
      </c>
      <c r="D254" t="str">
        <f>$D$53</f>
        <v>IS_RESIDENTIAL_MTG_ORIGINATIONS</v>
      </c>
      <c r="E254" t="str">
        <f>$E$53</f>
        <v>Dynamic</v>
      </c>
      <c r="F254" t="e">
        <f ca="1">_xll.BDH($B$53,$C$53,$B$183,$B$184,CONCATENATE("Per=",$B$181),"Dts=H","Dir=H",CONCATENATE("Points=",$B$182),"Sort=R","Days=A","Fill=B",CONCATENATE("FX=", $B$180),"cols=60;rows=1")</f>
        <v>#NAME?</v>
      </c>
      <c r="G254">
        <v>11400</v>
      </c>
      <c r="H254">
        <v>10700</v>
      </c>
      <c r="I254">
        <v>6600</v>
      </c>
      <c r="J254">
        <v>7200</v>
      </c>
      <c r="K254">
        <v>11000</v>
      </c>
      <c r="L254">
        <v>11200</v>
      </c>
      <c r="M254">
        <v>5700</v>
      </c>
      <c r="N254">
        <v>6700</v>
      </c>
      <c r="O254">
        <v>12100</v>
      </c>
      <c r="P254">
        <v>21900</v>
      </c>
      <c r="Q254">
        <v>24700</v>
      </c>
      <c r="R254">
        <v>42200</v>
      </c>
      <c r="S254">
        <v>41600</v>
      </c>
      <c r="T254">
        <v>39600</v>
      </c>
      <c r="U254">
        <v>39300</v>
      </c>
      <c r="V254">
        <v>32500</v>
      </c>
      <c r="W254">
        <v>29000</v>
      </c>
      <c r="X254">
        <v>24200</v>
      </c>
      <c r="Y254">
        <v>28100</v>
      </c>
      <c r="Z254">
        <v>33300</v>
      </c>
      <c r="AA254">
        <v>32400</v>
      </c>
      <c r="AB254">
        <v>24500</v>
      </c>
      <c r="AC254">
        <v>15000</v>
      </c>
      <c r="AD254">
        <v>17200</v>
      </c>
      <c r="AE254">
        <v>22500</v>
      </c>
      <c r="AF254">
        <v>21500</v>
      </c>
      <c r="AG254">
        <v>18200</v>
      </c>
      <c r="AH254">
        <v>24400</v>
      </c>
      <c r="AI254">
        <v>26900</v>
      </c>
      <c r="AJ254">
        <v>23900</v>
      </c>
      <c r="AK254">
        <v>22400</v>
      </c>
      <c r="AL254">
        <v>29100</v>
      </c>
      <c r="AM254">
        <v>27100</v>
      </c>
      <c r="AN254">
        <v>25000</v>
      </c>
      <c r="AO254">
        <v>22400</v>
      </c>
      <c r="AP254">
        <v>22500</v>
      </c>
      <c r="AQ254">
        <v>29900</v>
      </c>
      <c r="AR254">
        <v>29300</v>
      </c>
      <c r="AS254">
        <v>24700</v>
      </c>
      <c r="AT254">
        <v>23000</v>
      </c>
      <c r="AU254">
        <v>21200</v>
      </c>
      <c r="AV254">
        <v>16800</v>
      </c>
      <c r="AW254">
        <v>17000</v>
      </c>
      <c r="AX254">
        <v>23300</v>
      </c>
      <c r="AY254">
        <v>40500</v>
      </c>
      <c r="AZ254">
        <v>49000</v>
      </c>
      <c r="BA254">
        <v>52700</v>
      </c>
      <c r="BB254">
        <v>51200</v>
      </c>
      <c r="BC254">
        <v>47300</v>
      </c>
      <c r="BD254">
        <v>43900</v>
      </c>
      <c r="BE254">
        <v>38400</v>
      </c>
      <c r="BF254">
        <v>38600</v>
      </c>
      <c r="BG254">
        <v>36800</v>
      </c>
      <c r="BH254">
        <v>34000</v>
      </c>
      <c r="BI254">
        <v>36200</v>
      </c>
      <c r="BJ254">
        <v>50800</v>
      </c>
      <c r="BK254">
        <v>40900</v>
      </c>
      <c r="BL254">
        <v>32200</v>
      </c>
      <c r="BM254">
        <v>31700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>
      <c r="A255" t="str">
        <f>$A$54</f>
        <v xml:space="preserve">    PNC Financial Services Group I</v>
      </c>
      <c r="B255" t="str">
        <f>$B$54</f>
        <v>PNC US Equity</v>
      </c>
      <c r="C255" t="str">
        <f>$C$54</f>
        <v>IS688</v>
      </c>
      <c r="D255" t="str">
        <f>$D$54</f>
        <v>IS_RESIDENTIAL_MTG_ORIGINATIONS</v>
      </c>
      <c r="E255" t="str">
        <f>$E$54</f>
        <v>Dynamic</v>
      </c>
      <c r="F255" t="e">
        <f ca="1">_xll.BDH($B$54,$C$54,$B$183,$B$184,CONCATENATE("Per=",$B$181),"Dts=H","Dir=H",CONCATENATE("Points=",$B$182),"Sort=R","Days=A","Fill=B",CONCATENATE("FX=", $B$180),"cols=60;rows=1")</f>
        <v>#NAME?</v>
      </c>
      <c r="G255">
        <v>3100</v>
      </c>
      <c r="H255">
        <v>1700</v>
      </c>
      <c r="I255">
        <v>1300</v>
      </c>
      <c r="J255">
        <v>1500</v>
      </c>
      <c r="K255">
        <v>2100</v>
      </c>
      <c r="L255">
        <v>2400</v>
      </c>
      <c r="M255">
        <v>1400</v>
      </c>
      <c r="N255">
        <v>2100</v>
      </c>
      <c r="O255">
        <v>3100</v>
      </c>
      <c r="P255">
        <v>4800</v>
      </c>
      <c r="Q255">
        <v>5100</v>
      </c>
      <c r="R255">
        <v>6600</v>
      </c>
      <c r="S255">
        <v>7400</v>
      </c>
      <c r="T255">
        <v>6500</v>
      </c>
      <c r="U255">
        <v>4300</v>
      </c>
      <c r="V255">
        <v>3700</v>
      </c>
      <c r="W255">
        <v>4000</v>
      </c>
      <c r="X255">
        <v>4200</v>
      </c>
      <c r="Y255">
        <v>3200</v>
      </c>
      <c r="Z255">
        <v>3500</v>
      </c>
      <c r="AA255">
        <v>3400</v>
      </c>
      <c r="AB255">
        <v>2900</v>
      </c>
      <c r="AC255">
        <v>1700</v>
      </c>
      <c r="AD255">
        <v>1600</v>
      </c>
      <c r="AE255">
        <v>2100</v>
      </c>
      <c r="AF255">
        <v>2000</v>
      </c>
      <c r="AG255">
        <v>1700</v>
      </c>
      <c r="AH255">
        <v>2400</v>
      </c>
      <c r="AI255">
        <v>2500</v>
      </c>
      <c r="AJ255">
        <v>2200</v>
      </c>
      <c r="AK255">
        <v>1900</v>
      </c>
      <c r="AL255">
        <v>3000</v>
      </c>
      <c r="AM255">
        <v>3100</v>
      </c>
      <c r="AN255">
        <v>2600</v>
      </c>
      <c r="AO255">
        <v>1900</v>
      </c>
      <c r="AP255">
        <v>2300</v>
      </c>
      <c r="AQ255">
        <v>2700</v>
      </c>
      <c r="AR255">
        <v>2900</v>
      </c>
      <c r="AS255">
        <v>2600</v>
      </c>
      <c r="AT255">
        <v>2400</v>
      </c>
      <c r="AU255">
        <v>2600</v>
      </c>
      <c r="AV255">
        <v>2600</v>
      </c>
      <c r="AW255">
        <v>1900</v>
      </c>
      <c r="AX255">
        <v>2500</v>
      </c>
      <c r="AY255">
        <v>3700</v>
      </c>
      <c r="AZ255">
        <v>4700</v>
      </c>
      <c r="BA255">
        <v>4200</v>
      </c>
      <c r="BB255">
        <v>4400</v>
      </c>
      <c r="BC255">
        <v>3800</v>
      </c>
      <c r="BD255">
        <v>3600</v>
      </c>
      <c r="BE255">
        <v>3400</v>
      </c>
      <c r="BF255">
        <v>3000</v>
      </c>
      <c r="BG255">
        <v>2600</v>
      </c>
      <c r="BH255">
        <v>2600</v>
      </c>
      <c r="BI255">
        <v>3200</v>
      </c>
      <c r="BJ255">
        <v>3500</v>
      </c>
      <c r="BK255">
        <v>2700</v>
      </c>
      <c r="BL255">
        <v>2300</v>
      </c>
      <c r="BM255">
        <v>2000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>
      <c r="A256" t="str">
        <f>$A$55</f>
        <v xml:space="preserve">    Regions Financial Corp</v>
      </c>
      <c r="B256" t="str">
        <f>$B$55</f>
        <v>RF US Equity</v>
      </c>
      <c r="C256" t="str">
        <f>$C$55</f>
        <v>IS688</v>
      </c>
      <c r="D256" t="str">
        <f>$D$55</f>
        <v>IS_RESIDENTIAL_MTG_ORIGINATIONS</v>
      </c>
      <c r="E256" t="str">
        <f>$E$55</f>
        <v>Dynamic</v>
      </c>
      <c r="F256" t="e">
        <f ca="1">_xll.BDH($B$55,$C$55,$B$183,$B$184,CONCATENATE("Per=",$B$181),"Dts=H","Dir=H",CONCATENATE("Points=",$B$182),"Sort=R","Days=A","Fill=B",CONCATENATE("FX=", $B$180),"cols=60;rows=1")</f>
        <v>#NAME?</v>
      </c>
      <c r="G256">
        <v>1016</v>
      </c>
      <c r="H256">
        <v>1042</v>
      </c>
      <c r="I256">
        <v>753</v>
      </c>
      <c r="J256">
        <v>824</v>
      </c>
      <c r="K256">
        <v>1170</v>
      </c>
      <c r="L256">
        <v>450</v>
      </c>
      <c r="M256">
        <v>882</v>
      </c>
      <c r="N256">
        <v>1026</v>
      </c>
      <c r="O256">
        <v>1523</v>
      </c>
      <c r="P256">
        <v>1957</v>
      </c>
      <c r="Q256">
        <v>1840</v>
      </c>
      <c r="R256">
        <v>2406</v>
      </c>
      <c r="S256">
        <v>2824</v>
      </c>
      <c r="T256">
        <v>3001</v>
      </c>
      <c r="U256">
        <v>2776</v>
      </c>
      <c r="V256">
        <v>1470</v>
      </c>
      <c r="W256">
        <v>3488</v>
      </c>
      <c r="X256">
        <v>2483</v>
      </c>
      <c r="Y256">
        <v>1470</v>
      </c>
      <c r="Z256">
        <v>1653</v>
      </c>
      <c r="AA256">
        <v>1717</v>
      </c>
      <c r="AB256">
        <v>1461</v>
      </c>
      <c r="AC256">
        <v>921</v>
      </c>
      <c r="AD256">
        <v>1029</v>
      </c>
      <c r="AE256">
        <v>1249</v>
      </c>
      <c r="AF256">
        <v>1428</v>
      </c>
      <c r="AG256">
        <v>1096</v>
      </c>
      <c r="AH256">
        <v>1266</v>
      </c>
      <c r="AI256">
        <v>1311</v>
      </c>
      <c r="AJ256">
        <v>1447</v>
      </c>
      <c r="AK256">
        <v>1154</v>
      </c>
      <c r="AL256">
        <v>1538</v>
      </c>
      <c r="AM256">
        <v>1662</v>
      </c>
      <c r="AN256">
        <v>1656</v>
      </c>
      <c r="AO256">
        <v>1111</v>
      </c>
      <c r="AP256">
        <v>1190</v>
      </c>
      <c r="AQ256">
        <v>1421</v>
      </c>
      <c r="AR256">
        <v>1602</v>
      </c>
      <c r="AS256">
        <v>1270</v>
      </c>
      <c r="AT256">
        <v>1168</v>
      </c>
      <c r="AU256">
        <v>1285</v>
      </c>
      <c r="AV256">
        <v>1270</v>
      </c>
      <c r="AW256">
        <v>966</v>
      </c>
      <c r="AX256">
        <v>1238</v>
      </c>
      <c r="AY256">
        <v>1606</v>
      </c>
      <c r="AZ256">
        <v>1921</v>
      </c>
      <c r="BA256">
        <v>1819</v>
      </c>
      <c r="BB256">
        <v>2100</v>
      </c>
      <c r="BC256">
        <v>2200</v>
      </c>
      <c r="BD256">
        <v>2100</v>
      </c>
      <c r="BE256">
        <v>1600</v>
      </c>
      <c r="BF256">
        <v>1800</v>
      </c>
      <c r="BG256">
        <v>1500</v>
      </c>
      <c r="BH256">
        <v>1400</v>
      </c>
      <c r="BI256">
        <v>1600</v>
      </c>
      <c r="BJ256">
        <v>2600</v>
      </c>
      <c r="BK256">
        <v>2400</v>
      </c>
      <c r="BL256">
        <v>1800</v>
      </c>
      <c r="BM256">
        <v>1400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>
      <c r="A257" t="str">
        <f>$A$56</f>
        <v xml:space="preserve">    SunTrust Banks Inc</v>
      </c>
      <c r="B257" t="str">
        <f>$B$56</f>
        <v>STI US Equity</v>
      </c>
      <c r="C257" t="str">
        <f>$C$56</f>
        <v>IS688</v>
      </c>
      <c r="D257" t="str">
        <f>$D$56</f>
        <v>IS_RESIDENTIAL_MTG_ORIGINATIONS</v>
      </c>
      <c r="E257" t="str">
        <f>$E$56</f>
        <v>Dynamic</v>
      </c>
      <c r="F257" t="e">
        <f ca="1">_xll.BDH($B$56,$C$56,$B$183,$B$184,CONCATENATE("Per=",$B$181),"Dts=H","Dir=H",CONCATENATE("Points=",$B$182),"Sort=R","Days=A","Fill=B",CONCATENATE("FX=", $B$180) )</f>
        <v>#NAME?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>
      <c r="A258" t="str">
        <f>$A$57</f>
        <v xml:space="preserve">    US Bancorp/MN</v>
      </c>
      <c r="B258" t="str">
        <f>$B$57</f>
        <v>USB US Equity</v>
      </c>
      <c r="C258" t="str">
        <f>$C$57</f>
        <v>IS688</v>
      </c>
      <c r="D258" t="str">
        <f>$D$57</f>
        <v>IS_RESIDENTIAL_MTG_ORIGINATIONS</v>
      </c>
      <c r="E258" t="str">
        <f>$E$57</f>
        <v>Dynamic</v>
      </c>
      <c r="F258" t="e">
        <f ca="1">_xll.BDH($B$57,$C$57,$B$183,$B$184,CONCATENATE("Per=",$B$181),"Dts=H","Dir=H",CONCATENATE("Points=",$B$182),"Sort=R","Days=A","Fill=B",CONCATENATE("FX=", $B$180),"cols=60;rows=1")</f>
        <v>#NAME?</v>
      </c>
      <c r="G258">
        <v>11076</v>
      </c>
      <c r="H258">
        <v>14415</v>
      </c>
      <c r="I258">
        <v>12531</v>
      </c>
      <c r="J258">
        <v>7405</v>
      </c>
      <c r="K258">
        <v>9493</v>
      </c>
      <c r="L258">
        <v>15841</v>
      </c>
      <c r="M258">
        <v>16077</v>
      </c>
      <c r="N258">
        <v>11195</v>
      </c>
      <c r="O258">
        <v>15606</v>
      </c>
      <c r="P258">
        <v>13895</v>
      </c>
      <c r="Q258">
        <v>16587</v>
      </c>
      <c r="R258">
        <v>25231</v>
      </c>
      <c r="S258">
        <v>28428</v>
      </c>
      <c r="T258">
        <v>23714</v>
      </c>
      <c r="U258">
        <v>24803</v>
      </c>
      <c r="V258">
        <v>31361</v>
      </c>
      <c r="W258">
        <v>25710</v>
      </c>
      <c r="X258">
        <v>22374</v>
      </c>
      <c r="Y258">
        <v>16098</v>
      </c>
      <c r="Z258">
        <v>9123</v>
      </c>
      <c r="AA258">
        <v>15831</v>
      </c>
      <c r="AB258">
        <v>13503</v>
      </c>
      <c r="AC258">
        <v>9430</v>
      </c>
      <c r="AD258">
        <v>9123</v>
      </c>
      <c r="AE258">
        <v>11272</v>
      </c>
      <c r="AF258">
        <v>10983</v>
      </c>
      <c r="AG258">
        <v>9982</v>
      </c>
      <c r="AH258">
        <v>12526</v>
      </c>
      <c r="AI258">
        <v>12061</v>
      </c>
      <c r="AJ258">
        <v>10999</v>
      </c>
      <c r="AK258">
        <v>9984</v>
      </c>
      <c r="AL258">
        <v>13978</v>
      </c>
      <c r="AM258">
        <v>14995</v>
      </c>
      <c r="AN258">
        <v>13540</v>
      </c>
      <c r="AO258">
        <v>10973</v>
      </c>
      <c r="AP258">
        <v>11426</v>
      </c>
      <c r="AQ258">
        <v>13979</v>
      </c>
      <c r="AR258">
        <v>13388</v>
      </c>
      <c r="AS258">
        <v>10900</v>
      </c>
      <c r="AT258">
        <v>10448</v>
      </c>
      <c r="AU258">
        <v>10410</v>
      </c>
      <c r="AV258">
        <v>7950</v>
      </c>
      <c r="AW258">
        <v>6245</v>
      </c>
      <c r="AX258">
        <v>8563</v>
      </c>
      <c r="AY258">
        <v>15192</v>
      </c>
      <c r="AZ258">
        <v>17796</v>
      </c>
      <c r="BA258">
        <v>21698</v>
      </c>
      <c r="BB258">
        <v>22111</v>
      </c>
      <c r="BC258">
        <v>21529</v>
      </c>
      <c r="BD258">
        <v>21667</v>
      </c>
      <c r="BE258">
        <v>19168</v>
      </c>
      <c r="BF258">
        <v>17415</v>
      </c>
      <c r="BG258">
        <v>11509</v>
      </c>
      <c r="BH258">
        <v>8070</v>
      </c>
      <c r="BI258">
        <v>12131</v>
      </c>
      <c r="BJ258">
        <v>19610</v>
      </c>
      <c r="BK258">
        <v>16579</v>
      </c>
      <c r="BL258">
        <v>10585</v>
      </c>
      <c r="BM258">
        <v>8980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>
      <c r="A259" t="str">
        <f>$A$58</f>
        <v xml:space="preserve">    Wells Fargo &amp; Co</v>
      </c>
      <c r="B259" t="str">
        <f>$B$58</f>
        <v>WFC US Equity</v>
      </c>
      <c r="C259" t="str">
        <f>$C$58</f>
        <v>IS688</v>
      </c>
      <c r="D259" t="str">
        <f>$D$58</f>
        <v>IS_RESIDENTIAL_MTG_ORIGINATIONS</v>
      </c>
      <c r="E259" t="str">
        <f>$E$58</f>
        <v>Dynamic</v>
      </c>
      <c r="F259" t="e">
        <f ca="1">_xll.BDH($B$58,$C$58,$B$183,$B$184,CONCATENATE("Per=",$B$181),"Dts=H","Dir=H",CONCATENATE("Points=",$B$182),"Sort=R","Days=A","Fill=B",CONCATENATE("FX=", $B$180),"cols=60;rows=1")</f>
        <v>#NAME?</v>
      </c>
      <c r="G259">
        <v>5500</v>
      </c>
      <c r="H259">
        <v>5300</v>
      </c>
      <c r="J259">
        <v>4500</v>
      </c>
      <c r="K259">
        <v>6400</v>
      </c>
      <c r="L259">
        <v>7800</v>
      </c>
      <c r="M259">
        <v>6600</v>
      </c>
      <c r="N259">
        <v>14600</v>
      </c>
      <c r="O259">
        <v>21500</v>
      </c>
      <c r="P259">
        <v>34100</v>
      </c>
      <c r="Q259">
        <v>37900</v>
      </c>
      <c r="R259">
        <v>48100</v>
      </c>
      <c r="S259">
        <v>51900</v>
      </c>
      <c r="T259">
        <v>53200</v>
      </c>
      <c r="U259">
        <v>51800</v>
      </c>
      <c r="V259">
        <v>53900</v>
      </c>
      <c r="W259">
        <v>62000</v>
      </c>
      <c r="X259">
        <v>59000</v>
      </c>
      <c r="Y259">
        <v>48000</v>
      </c>
      <c r="Z259">
        <v>60000</v>
      </c>
      <c r="AA259">
        <v>58000</v>
      </c>
      <c r="AB259">
        <v>53000</v>
      </c>
      <c r="AC259">
        <v>33000</v>
      </c>
      <c r="AD259">
        <v>38000</v>
      </c>
      <c r="AE259">
        <v>46000</v>
      </c>
      <c r="AF259">
        <v>50000</v>
      </c>
      <c r="AG259">
        <v>43000</v>
      </c>
      <c r="AH259">
        <v>53000</v>
      </c>
      <c r="AI259">
        <v>59000</v>
      </c>
      <c r="AJ259">
        <v>56000</v>
      </c>
      <c r="AK259">
        <v>44000</v>
      </c>
      <c r="AL259">
        <v>72000</v>
      </c>
      <c r="AM259">
        <v>70000</v>
      </c>
      <c r="AN259">
        <v>63000</v>
      </c>
      <c r="AO259">
        <v>44000</v>
      </c>
      <c r="AP259">
        <v>47000</v>
      </c>
      <c r="AQ259">
        <v>55000</v>
      </c>
      <c r="AR259">
        <v>62000</v>
      </c>
      <c r="AS259">
        <v>49000</v>
      </c>
      <c r="AT259">
        <v>44000</v>
      </c>
      <c r="AU259">
        <v>48000</v>
      </c>
      <c r="AV259">
        <v>47000</v>
      </c>
      <c r="AW259">
        <v>36000</v>
      </c>
      <c r="AX259">
        <v>50000</v>
      </c>
      <c r="AY259">
        <v>80000</v>
      </c>
      <c r="AZ259">
        <v>112000</v>
      </c>
      <c r="BA259">
        <v>109000</v>
      </c>
      <c r="BB259">
        <v>125000</v>
      </c>
      <c r="BC259">
        <v>139000</v>
      </c>
      <c r="BD259">
        <v>131000</v>
      </c>
      <c r="BE259">
        <v>129000</v>
      </c>
      <c r="BF259">
        <v>120000</v>
      </c>
      <c r="BG259">
        <v>89000</v>
      </c>
      <c r="BH259">
        <v>64000</v>
      </c>
      <c r="BI259">
        <v>84000</v>
      </c>
      <c r="BJ259">
        <v>128000</v>
      </c>
      <c r="BK259">
        <v>101000</v>
      </c>
      <c r="BL259">
        <v>81000</v>
      </c>
      <c r="BM259">
        <v>76000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>
      <c r="A260" t="str">
        <f>$A$61</f>
        <v xml:space="preserve">    Bank OZK</v>
      </c>
      <c r="B260" t="str">
        <f>$B$61</f>
        <v>OZK US Equity</v>
      </c>
      <c r="C260" t="str">
        <f>$C$61</f>
        <v>BS962</v>
      </c>
      <c r="D260" t="str">
        <f>$D$61</f>
        <v>BS_RSD_MTG_SRVC_PORTFOLIO</v>
      </c>
      <c r="E260" t="str">
        <f>$E$61</f>
        <v>Dynamic</v>
      </c>
      <c r="F260" t="e">
        <f ca="1">_xll.BDH($B$61,$C$61,$B$183,$B$184,CONCATENATE("Per=",$B$181),"Dts=H","Dir=H",CONCATENATE("Points=",$B$182),"Sort=R","Days=A","Fill=B",CONCATENATE("FX=", $B$180) )</f>
        <v>#NAME?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>
      <c r="A261" t="str">
        <f>$A$62</f>
        <v xml:space="preserve">    Citizens Financial Group Inc</v>
      </c>
      <c r="B261" t="str">
        <f>$B$62</f>
        <v>CFG US Equity</v>
      </c>
      <c r="C261" t="str">
        <f>$C$62</f>
        <v>BS962</v>
      </c>
      <c r="D261" t="str">
        <f>$D$62</f>
        <v>BS_RSD_MTG_SRVC_PORTFOLIO</v>
      </c>
      <c r="E261" t="str">
        <f>$E$62</f>
        <v>Dynamic</v>
      </c>
      <c r="F261" t="e">
        <f ca="1">_xll.BDH($B$62,$C$62,$B$183,$B$184,CONCATENATE("Per=",$B$181),"Dts=H","Dir=H",CONCATENATE("Points=",$B$182),"Sort=R","Days=A","Fill=B",CONCATENATE("FX=", $B$180) )</f>
        <v>#NAME?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>
      <c r="A262" t="str">
        <f>$A$63</f>
        <v xml:space="preserve">    Comerica Inc</v>
      </c>
      <c r="B262" t="str">
        <f>$B$63</f>
        <v>CMA US Equity</v>
      </c>
      <c r="C262" t="str">
        <f>$C$63</f>
        <v>BS962</v>
      </c>
      <c r="D262" t="str">
        <f>$D$63</f>
        <v>BS_RSD_MTG_SRVC_PORTFOLIO</v>
      </c>
      <c r="E262" t="str">
        <f>$E$63</f>
        <v>Dynamic</v>
      </c>
      <c r="F262" t="e">
        <f ca="1">_xll.BDH($B$63,$C$63,$B$183,$B$184,CONCATENATE("Per=",$B$181),"Dts=H","Dir=H",CONCATENATE("Points=",$B$182),"Sort=R","Days=A","Fill=B",CONCATENATE("FX=", $B$180) )</f>
        <v>#NAME?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>
      <c r="A263" t="str">
        <f>$A$64</f>
        <v xml:space="preserve">    East West Bancorp Inc</v>
      </c>
      <c r="B263" t="str">
        <f>$B$64</f>
        <v>EWBC US Equity</v>
      </c>
      <c r="C263" t="str">
        <f>$C$64</f>
        <v>BS962</v>
      </c>
      <c r="D263" t="str">
        <f>$D$64</f>
        <v>BS_RSD_MTG_SRVC_PORTFOLIO</v>
      </c>
      <c r="E263" t="str">
        <f>$E$64</f>
        <v>Dynamic</v>
      </c>
      <c r="F263" t="e">
        <f ca="1">_xll.BDH($B$64,$C$64,$B$183,$B$184,CONCATENATE("Per=",$B$181),"Dts=H","Dir=H",CONCATENATE("Points=",$B$182),"Sort=R","Days=A","Fill=B",CONCATENATE("FX=", $B$180) )</f>
        <v>#NAME?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>
      <c r="A264" t="str">
        <f>$A$65</f>
        <v xml:space="preserve">    First Horizon Corp</v>
      </c>
      <c r="B264" t="str">
        <f>$B$65</f>
        <v>FHN US Equity</v>
      </c>
      <c r="C264" t="str">
        <f>$C$65</f>
        <v>BS962</v>
      </c>
      <c r="D264" t="str">
        <f>$D$65</f>
        <v>BS_RSD_MTG_SRVC_PORTFOLIO</v>
      </c>
      <c r="E264" t="str">
        <f>$E$65</f>
        <v>Dynamic</v>
      </c>
      <c r="F264" t="e">
        <f ca="1">_xll.BDH($B$65,$C$65,$B$183,$B$184,CONCATENATE("Per=",$B$181),"Dts=H","Dir=H",CONCATENATE("Points=",$B$182),"Sort=R","Days=A","Fill=B",CONCATENATE("FX=", $B$180),"cols=60;rows=1")</f>
        <v>#NAME?</v>
      </c>
      <c r="J264">
        <v>0</v>
      </c>
      <c r="N264">
        <v>0</v>
      </c>
      <c r="R264">
        <v>0</v>
      </c>
      <c r="V264">
        <v>0</v>
      </c>
      <c r="Z264">
        <v>0</v>
      </c>
      <c r="AD264">
        <v>0</v>
      </c>
      <c r="AH264">
        <v>0</v>
      </c>
      <c r="AL264">
        <v>0</v>
      </c>
      <c r="AP264">
        <v>0.83699999999999997</v>
      </c>
      <c r="AQ264">
        <v>879</v>
      </c>
      <c r="AR264">
        <v>0.92200000000000004</v>
      </c>
      <c r="AS264">
        <v>966</v>
      </c>
      <c r="AT264">
        <v>1.0129999999999999</v>
      </c>
      <c r="AU264">
        <v>1090</v>
      </c>
      <c r="AV264">
        <v>1.456</v>
      </c>
      <c r="AW264">
        <v>1679</v>
      </c>
      <c r="AX264">
        <v>8.5120000000000005</v>
      </c>
      <c r="AY264">
        <v>13784</v>
      </c>
      <c r="AZ264">
        <v>16025</v>
      </c>
      <c r="BA264">
        <v>17055</v>
      </c>
      <c r="BB264">
        <v>16487</v>
      </c>
      <c r="BC264">
        <v>17536</v>
      </c>
      <c r="BD264">
        <v>20331</v>
      </c>
      <c r="BE264">
        <v>21610</v>
      </c>
      <c r="BF264">
        <v>21076.799999999999</v>
      </c>
      <c r="BG264">
        <v>23650</v>
      </c>
      <c r="BH264">
        <v>25223</v>
      </c>
      <c r="BI264">
        <v>26452</v>
      </c>
      <c r="BJ264">
        <v>27283.8</v>
      </c>
      <c r="BK264">
        <v>29723</v>
      </c>
      <c r="BL264">
        <v>31907</v>
      </c>
      <c r="BM264">
        <v>38978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>
      <c r="A265" t="str">
        <f>$A$66</f>
        <v xml:space="preserve">    First Republic Bank/CA</v>
      </c>
      <c r="B265" t="str">
        <f>$B$66</f>
        <v>FRCB US Equity</v>
      </c>
      <c r="C265" t="str">
        <f>$C$66</f>
        <v>BS962</v>
      </c>
      <c r="D265" t="str">
        <f>$D$66</f>
        <v>BS_RSD_MTG_SRVC_PORTFOLIO</v>
      </c>
      <c r="E265" t="str">
        <f>$E$66</f>
        <v>Dynamic</v>
      </c>
      <c r="F265" t="e">
        <f ca="1">_xll.BDH($B$66,$C$66,$B$183,$B$184,CONCATENATE("Per=",$B$181),"Dts=H","Dir=H",CONCATENATE("Points=",$B$182),"Sort=R","Days=A","Fill=B",CONCATENATE("FX=", $B$180) )</f>
        <v>#NAME?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>
      <c r="A266" t="str">
        <f>$A$67</f>
        <v xml:space="preserve">    Fifth Third Bancorp</v>
      </c>
      <c r="B266" t="str">
        <f>$B$67</f>
        <v>FITB US Equity</v>
      </c>
      <c r="C266" t="str">
        <f>$C$67</f>
        <v>BS962</v>
      </c>
      <c r="D266" t="str">
        <f>$D$67</f>
        <v>BS_RSD_MTG_SRVC_PORTFOLIO</v>
      </c>
      <c r="E266" t="str">
        <f>$E$67</f>
        <v>Dynamic</v>
      </c>
      <c r="F266" t="e">
        <f ca="1">_xll.BDH($B$67,$C$67,$B$183,$B$184,CONCATENATE("Per=",$B$181),"Dts=H","Dir=H",CONCATENATE("Points=",$B$182),"Sort=R","Days=A","Fill=B",CONCATENATE("FX=", $B$180),"cols=60;rows=1")</f>
        <v>#NAME?</v>
      </c>
      <c r="G266">
        <v>95808</v>
      </c>
      <c r="H266">
        <v>97280</v>
      </c>
      <c r="I266">
        <v>99596</v>
      </c>
      <c r="J266">
        <v>100842</v>
      </c>
      <c r="K266">
        <v>101889</v>
      </c>
      <c r="L266">
        <v>102817</v>
      </c>
      <c r="M266">
        <v>103399</v>
      </c>
      <c r="N266">
        <v>103154</v>
      </c>
      <c r="O266">
        <v>102696</v>
      </c>
      <c r="P266">
        <v>100519</v>
      </c>
      <c r="Q266">
        <v>97736</v>
      </c>
      <c r="R266">
        <v>89234</v>
      </c>
      <c r="S266">
        <v>92700</v>
      </c>
      <c r="T266">
        <v>93</v>
      </c>
      <c r="U266">
        <v>65922</v>
      </c>
      <c r="V266">
        <v>86600</v>
      </c>
      <c r="W266">
        <v>91400</v>
      </c>
      <c r="X266">
        <v>95400</v>
      </c>
      <c r="Y266">
        <v>81901</v>
      </c>
      <c r="Z266">
        <v>98400</v>
      </c>
      <c r="AA266">
        <v>82702</v>
      </c>
      <c r="AB266">
        <v>102400</v>
      </c>
      <c r="AC266">
        <v>83900</v>
      </c>
      <c r="AD266">
        <v>79200</v>
      </c>
      <c r="AE266">
        <v>63996</v>
      </c>
      <c r="AF266">
        <v>62200</v>
      </c>
      <c r="AG266">
        <v>77200</v>
      </c>
      <c r="AH266">
        <v>76100</v>
      </c>
      <c r="AI266">
        <v>77100</v>
      </c>
      <c r="AJ266">
        <v>78000</v>
      </c>
      <c r="AK266">
        <v>71400</v>
      </c>
      <c r="AL266">
        <v>69300</v>
      </c>
      <c r="AM266">
        <v>70200</v>
      </c>
      <c r="AN266">
        <v>71300</v>
      </c>
      <c r="AO266">
        <v>72300</v>
      </c>
      <c r="AP266">
        <v>73400</v>
      </c>
      <c r="AQ266">
        <v>74500</v>
      </c>
      <c r="AR266">
        <v>61727</v>
      </c>
      <c r="AS266">
        <v>77.400000000000006</v>
      </c>
      <c r="AT266">
        <v>79000</v>
      </c>
      <c r="AU266">
        <v>80300</v>
      </c>
      <c r="AV266">
        <v>81300</v>
      </c>
      <c r="AW266">
        <v>82200</v>
      </c>
      <c r="AX266">
        <v>82700</v>
      </c>
      <c r="AY266">
        <v>82800</v>
      </c>
      <c r="AZ266">
        <v>81700</v>
      </c>
      <c r="BA266">
        <v>79500</v>
      </c>
      <c r="BB266">
        <v>77300</v>
      </c>
      <c r="BC266">
        <v>75900</v>
      </c>
      <c r="BD266">
        <v>74800</v>
      </c>
      <c r="BE266">
        <v>72900</v>
      </c>
      <c r="BF266">
        <v>70600</v>
      </c>
      <c r="BG266">
        <v>68400</v>
      </c>
      <c r="BH266">
        <v>66800</v>
      </c>
      <c r="BI266">
        <v>66000</v>
      </c>
      <c r="BJ266">
        <v>63200</v>
      </c>
      <c r="BK266">
        <v>62400</v>
      </c>
      <c r="BL266">
        <v>61000</v>
      </c>
      <c r="BM266">
        <v>59500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>
      <c r="A267" t="str">
        <f>$A$68</f>
        <v xml:space="preserve">    First Citizens BancShares Inc/</v>
      </c>
      <c r="B267" t="str">
        <f>$B$68</f>
        <v>FCNCA US Equity</v>
      </c>
      <c r="C267" t="str">
        <f>$C$68</f>
        <v>BS962</v>
      </c>
      <c r="D267" t="str">
        <f>$D$68</f>
        <v>BS_RSD_MTG_SRVC_PORTFOLIO</v>
      </c>
      <c r="E267" t="str">
        <f>$E$68</f>
        <v>Dynamic</v>
      </c>
      <c r="F267" t="e">
        <f ca="1">_xll.BDH($B$68,$C$68,$B$183,$B$184,CONCATENATE("Per=",$B$181),"Dts=H","Dir=H",CONCATENATE("Points=",$B$182),"Sort=R","Days=A","Fill=B",CONCATENATE("FX=", $B$180) )</f>
        <v>#NAME?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>
      <c r="A268" t="str">
        <f>$A$69</f>
        <v xml:space="preserve">    Flagstar Financial Inc</v>
      </c>
      <c r="B268" t="str">
        <f>$B$69</f>
        <v>FLG US Equity</v>
      </c>
      <c r="C268" t="str">
        <f>$C$69</f>
        <v>BS962</v>
      </c>
      <c r="D268" t="str">
        <f>$D$69</f>
        <v>BS_RSD_MTG_SRVC_PORTFOLIO</v>
      </c>
      <c r="E268" t="str">
        <f>$E$69</f>
        <v>Dynamic</v>
      </c>
      <c r="F268" t="e">
        <f ca="1">_xll.BDH($B$69,$C$69,$B$183,$B$184,CONCATENATE("Per=",$B$181),"Dts=H","Dir=H",CONCATENATE("Points=",$B$182),"Sort=R","Days=A","Fill=B",CONCATENATE("FX=", $B$180) )</f>
        <v>#NAME?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>
      <c r="A269" t="str">
        <f>$A$70</f>
        <v xml:space="preserve">    Huntington Bancshares Inc/OH</v>
      </c>
      <c r="B269" t="str">
        <f>$B$70</f>
        <v>HBAN US Equity</v>
      </c>
      <c r="C269" t="str">
        <f>$C$70</f>
        <v>BS962</v>
      </c>
      <c r="D269" t="str">
        <f>$D$70</f>
        <v>BS_RSD_MTG_SRVC_PORTFOLIO</v>
      </c>
      <c r="E269" t="str">
        <f>$E$70</f>
        <v>Dynamic</v>
      </c>
      <c r="F269" t="e">
        <f ca="1">_xll.BDH($B$70,$C$70,$B$183,$B$184,CONCATENATE("Per=",$B$181),"Dts=H","Dir=H",CONCATENATE("Points=",$B$182),"Sort=R","Days=A","Fill=B",CONCATENATE("FX=", $B$180) )</f>
        <v>#NAME?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>
      <c r="A270" t="str">
        <f>$A$71</f>
        <v xml:space="preserve">    KeyCorp</v>
      </c>
      <c r="B270" t="str">
        <f>$B$71</f>
        <v>KEY US Equity</v>
      </c>
      <c r="C270" t="str">
        <f>$C$71</f>
        <v>BS962</v>
      </c>
      <c r="D270" t="str">
        <f>$D$71</f>
        <v>BS_RSD_MTG_SRVC_PORTFOLIO</v>
      </c>
      <c r="E270" t="str">
        <f>$E$71</f>
        <v>Dynamic</v>
      </c>
      <c r="F270" t="e">
        <f ca="1">_xll.BDH($B$71,$C$71,$B$183,$B$184,CONCATENATE("Per=",$B$181),"Dts=H","Dir=H",CONCATENATE("Points=",$B$182),"Sort=R","Days=A","Fill=B",CONCATENATE("FX=", $B$180) )</f>
        <v>#NAME?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>
      <c r="A271" t="str">
        <f>$A$72</f>
        <v xml:space="preserve">    M&amp;T Bank Corp</v>
      </c>
      <c r="B271" t="str">
        <f>$B$72</f>
        <v>MTB US Equity</v>
      </c>
      <c r="C271" t="str">
        <f>$C$72</f>
        <v>BS962</v>
      </c>
      <c r="D271" t="str">
        <f>$D$72</f>
        <v>BS_RSD_MTG_SRVC_PORTFOLIO</v>
      </c>
      <c r="E271" t="str">
        <f>$E$72</f>
        <v>Dynamic</v>
      </c>
      <c r="F271" t="e">
        <f ca="1">_xll.BDH($B$72,$C$72,$B$183,$B$184,CONCATENATE("Per=",$B$181),"Dts=H","Dir=H",CONCATENATE("Points=",$B$182),"Sort=R","Days=A","Fill=B",CONCATENATE("FX=", $B$180) )</f>
        <v>#NAME?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>
      <c r="A272" t="str">
        <f>$A$73</f>
        <v xml:space="preserve">    PNC Financial Services Group I</v>
      </c>
      <c r="B272" t="str">
        <f>$B$73</f>
        <v>PNC US Equity</v>
      </c>
      <c r="C272" t="str">
        <f>$C$73</f>
        <v>BS962</v>
      </c>
      <c r="D272" t="str">
        <f>$D$73</f>
        <v>BS_RSD_MTG_SRVC_PORTFOLIO</v>
      </c>
      <c r="E272" t="str">
        <f>$E$73</f>
        <v>Dynamic</v>
      </c>
      <c r="F272" t="e">
        <f ca="1">_xll.BDH($B$73,$C$73,$B$183,$B$184,CONCATENATE("Per=",$B$181),"Dts=H","Dir=H",CONCATENATE("Points=",$B$182),"Sort=R","Days=A","Fill=B",CONCATENATE("FX=", $B$180),"cols=60;rows=1")</f>
        <v>#NAME?</v>
      </c>
      <c r="AX272">
        <v>114000</v>
      </c>
      <c r="BB272">
        <v>135000</v>
      </c>
      <c r="BF272">
        <v>131000</v>
      </c>
      <c r="BJ272">
        <v>139000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>
      <c r="A273" t="str">
        <f>$A$74</f>
        <v xml:space="preserve">    Regions Financial Corp</v>
      </c>
      <c r="B273" t="str">
        <f>$B$74</f>
        <v>RF US Equity</v>
      </c>
      <c r="C273" t="str">
        <f>$C$74</f>
        <v>BS962</v>
      </c>
      <c r="D273" t="str">
        <f>$D$74</f>
        <v>BS_RSD_MTG_SRVC_PORTFOLIO</v>
      </c>
      <c r="E273" t="str">
        <f>$E$74</f>
        <v>Dynamic</v>
      </c>
      <c r="F273" t="e">
        <f ca="1">_xll.BDH($B$74,$C$74,$B$183,$B$184,CONCATENATE("Per=",$B$181),"Dts=H","Dir=H",CONCATENATE("Points=",$B$182),"Sort=R","Days=A","Fill=B",CONCATENATE("FX=", $B$180),"cols=60;rows=1")</f>
        <v>#NAME?</v>
      </c>
      <c r="AX273">
        <v>28500</v>
      </c>
      <c r="BB273">
        <v>26200</v>
      </c>
      <c r="BF273">
        <v>41100</v>
      </c>
      <c r="BJ273">
        <v>41700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>
      <c r="A274" t="str">
        <f>$A$75</f>
        <v xml:space="preserve">    Signature Bank/New York NY</v>
      </c>
      <c r="B274" t="str">
        <f>$B$75</f>
        <v>SBNY US Equity</v>
      </c>
      <c r="C274" t="str">
        <f>$C$75</f>
        <v>BS962</v>
      </c>
      <c r="D274" t="str">
        <f>$D$75</f>
        <v>BS_RSD_MTG_SRVC_PORTFOLIO</v>
      </c>
      <c r="E274" t="str">
        <f>$E$75</f>
        <v>Dynamic</v>
      </c>
      <c r="F274" t="e">
        <f ca="1">_xll.BDH($B$75,$C$75,$B$183,$B$184,CONCATENATE("Per=",$B$181),"Dts=H","Dir=H",CONCATENATE("Points=",$B$182),"Sort=R","Days=A","Fill=B",CONCATENATE("FX=", $B$180) )</f>
        <v>#NAME?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>
      <c r="A275" t="str">
        <f>$A$76</f>
        <v xml:space="preserve">    SVB Financial Group</v>
      </c>
      <c r="B275" t="str">
        <f>$B$76</f>
        <v>SIVBQ US Equity</v>
      </c>
      <c r="C275" t="str">
        <f>$C$76</f>
        <v>BS962</v>
      </c>
      <c r="D275" t="str">
        <f>$D$76</f>
        <v>BS_RSD_MTG_SRVC_PORTFOLIO</v>
      </c>
      <c r="E275" t="str">
        <f>$E$76</f>
        <v>Dynamic</v>
      </c>
      <c r="F275" t="e">
        <f ca="1">_xll.BDH($B$76,$C$76,$B$183,$B$184,CONCATENATE("Per=",$B$181),"Dts=H","Dir=H",CONCATENATE("Points=",$B$182),"Sort=R","Days=A","Fill=B",CONCATENATE("FX=", $B$180) )</f>
        <v>#NAME?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>
      <c r="A276" t="str">
        <f>$A$77</f>
        <v xml:space="preserve">    Truist Financial Corp</v>
      </c>
      <c r="B276" t="str">
        <f>$B$77</f>
        <v>TFC US Equity</v>
      </c>
      <c r="C276" t="str">
        <f>$C$77</f>
        <v>BS962</v>
      </c>
      <c r="D276" t="str">
        <f>$D$77</f>
        <v>BS_RSD_MTG_SRVC_PORTFOLIO</v>
      </c>
      <c r="E276" t="str">
        <f>$E$77</f>
        <v>Dynamic</v>
      </c>
      <c r="F276" t="e">
        <f ca="1">_xll.BDH($B$77,$C$77,$B$183,$B$184,CONCATENATE("Per=",$B$181),"Dts=H","Dir=H",CONCATENATE("Points=",$B$182),"Sort=R","Days=A","Fill=B",CONCATENATE("FX=", $B$180),"cols=60;rows=1")</f>
        <v>#NAME?</v>
      </c>
      <c r="G276">
        <v>275424</v>
      </c>
      <c r="H276">
        <v>263173</v>
      </c>
      <c r="I276">
        <v>265890</v>
      </c>
      <c r="J276">
        <v>269068</v>
      </c>
      <c r="K276">
        <v>271632</v>
      </c>
      <c r="L276">
        <v>280064</v>
      </c>
      <c r="M276">
        <v>272323</v>
      </c>
      <c r="N276">
        <v>274028</v>
      </c>
      <c r="O276">
        <v>275526</v>
      </c>
      <c r="P276">
        <v>262845</v>
      </c>
      <c r="Q276">
        <v>246664</v>
      </c>
      <c r="R276">
        <v>246727</v>
      </c>
      <c r="S276">
        <v>248546</v>
      </c>
      <c r="T276">
        <v>224035</v>
      </c>
      <c r="U276">
        <v>228636</v>
      </c>
      <c r="V276">
        <v>239034</v>
      </c>
      <c r="W276">
        <v>253468</v>
      </c>
      <c r="X276">
        <v>265435</v>
      </c>
      <c r="Y276">
        <v>276304</v>
      </c>
      <c r="Z276">
        <v>279558</v>
      </c>
      <c r="AA276">
        <v>116269</v>
      </c>
      <c r="AB276">
        <v>117912</v>
      </c>
      <c r="AC276">
        <v>117980</v>
      </c>
      <c r="AD276">
        <v>118605</v>
      </c>
      <c r="AE276">
        <v>119460</v>
      </c>
      <c r="AF276">
        <v>118753</v>
      </c>
      <c r="AG276">
        <v>117827</v>
      </c>
      <c r="AH276">
        <v>118424</v>
      </c>
      <c r="AI276">
        <v>118736</v>
      </c>
      <c r="AJ276">
        <v>120173</v>
      </c>
      <c r="AK276">
        <v>121251</v>
      </c>
      <c r="AL276">
        <v>121639</v>
      </c>
      <c r="AM276">
        <v>122460</v>
      </c>
      <c r="AN276">
        <v>122617</v>
      </c>
      <c r="AO276">
        <v>121503</v>
      </c>
      <c r="AP276">
        <v>122169</v>
      </c>
      <c r="AQ276">
        <v>122639</v>
      </c>
      <c r="AR276">
        <v>121162</v>
      </c>
      <c r="AS276">
        <v>121079</v>
      </c>
      <c r="AT276">
        <v>122257</v>
      </c>
      <c r="AU276">
        <v>116224</v>
      </c>
      <c r="AV276">
        <v>122749</v>
      </c>
      <c r="AW276">
        <v>121942</v>
      </c>
      <c r="AX276">
        <v>112835</v>
      </c>
      <c r="AY276">
        <v>110807</v>
      </c>
      <c r="AZ276">
        <v>107057</v>
      </c>
      <c r="BA276">
        <v>103792</v>
      </c>
      <c r="BB276">
        <v>101270</v>
      </c>
      <c r="BC276">
        <v>99537</v>
      </c>
      <c r="BD276">
        <v>97560</v>
      </c>
      <c r="BE276">
        <v>94626</v>
      </c>
      <c r="BF276">
        <v>91640</v>
      </c>
      <c r="BG276">
        <v>88718</v>
      </c>
      <c r="BH276">
        <v>86828</v>
      </c>
      <c r="BI276">
        <v>86165</v>
      </c>
      <c r="BJ276">
        <v>83475</v>
      </c>
      <c r="BK276">
        <v>80538</v>
      </c>
      <c r="BL276">
        <v>77943</v>
      </c>
      <c r="BM276">
        <v>75919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>
      <c r="A277" t="str">
        <f>$A$78</f>
        <v xml:space="preserve">    US Bancorp</v>
      </c>
      <c r="B277" t="str">
        <f>$B$78</f>
        <v>USB US Equity</v>
      </c>
      <c r="C277" t="str">
        <f>$C$78</f>
        <v>BS962</v>
      </c>
      <c r="D277" t="str">
        <f>$D$78</f>
        <v>BS_RSD_MTG_SRVC_PORTFOLIO</v>
      </c>
      <c r="E277" t="str">
        <f>$E$78</f>
        <v>Dynamic</v>
      </c>
      <c r="F277" t="e">
        <f ca="1">_xll.BDH($B$78,$C$78,$B$183,$B$184,CONCATENATE("Per=",$B$181),"Dts=H","Dir=H",CONCATENATE("Points=",$B$182),"Sort=R","Days=A","Fill=B",CONCATENATE("FX=", $B$180) )</f>
        <v>#NAME?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>
      <c r="A278" t="str">
        <f>$A$79</f>
        <v xml:space="preserve">    Wells Fargo &amp; Co</v>
      </c>
      <c r="B278" t="str">
        <f>$B$79</f>
        <v>WFC US Equity</v>
      </c>
      <c r="C278" t="str">
        <f>$C$79</f>
        <v>BS962</v>
      </c>
      <c r="D278" t="str">
        <f>$D$79</f>
        <v>BS_RSD_MTG_SRVC_PORTFOLIO</v>
      </c>
      <c r="E278" t="str">
        <f>$E$79</f>
        <v>Dynamic</v>
      </c>
      <c r="F278" t="e">
        <f ca="1">_xll.BDH($B$79,$C$79,$B$183,$B$184,CONCATENATE("Per=",$B$181),"Dts=H","Dir=H",CONCATENATE("Points=",$B$182),"Sort=R","Days=A","Fill=B",CONCATENATE("FX=", $B$180),"cols=60;rows=1")</f>
        <v>#NAME?</v>
      </c>
      <c r="G278">
        <v>754000</v>
      </c>
      <c r="H278">
        <v>771000</v>
      </c>
      <c r="I278">
        <v>795000</v>
      </c>
      <c r="J278">
        <v>560000</v>
      </c>
      <c r="K278">
        <v>857000</v>
      </c>
      <c r="L278">
        <v>904000</v>
      </c>
      <c r="M278">
        <v>938000</v>
      </c>
      <c r="N278">
        <v>954000</v>
      </c>
      <c r="O278">
        <v>962000</v>
      </c>
      <c r="P278">
        <v>973000</v>
      </c>
      <c r="Q278">
        <v>978000</v>
      </c>
      <c r="R278">
        <v>994000</v>
      </c>
      <c r="S278">
        <v>1021000</v>
      </c>
      <c r="T278">
        <v>1055000</v>
      </c>
      <c r="U278">
        <v>1106000</v>
      </c>
      <c r="V278">
        <v>1182000</v>
      </c>
      <c r="W278">
        <v>1262000</v>
      </c>
      <c r="X278">
        <v>1327000</v>
      </c>
      <c r="Y278">
        <v>1382000</v>
      </c>
      <c r="Z278">
        <v>1408000</v>
      </c>
      <c r="AA278">
        <v>1432000</v>
      </c>
      <c r="AB278">
        <v>1452000</v>
      </c>
      <c r="AC278">
        <v>1482000</v>
      </c>
      <c r="AD278">
        <v>1502</v>
      </c>
      <c r="AE278">
        <v>1526000</v>
      </c>
      <c r="AF278">
        <v>1534000</v>
      </c>
      <c r="AG278">
        <v>1543000</v>
      </c>
      <c r="AH278">
        <v>1554000</v>
      </c>
      <c r="AI278">
        <v>1566000</v>
      </c>
      <c r="AJ278">
        <v>1536000</v>
      </c>
      <c r="AK278">
        <v>1543000</v>
      </c>
      <c r="AL278">
        <v>1560000</v>
      </c>
      <c r="AM278">
        <v>1582000</v>
      </c>
      <c r="AN278">
        <v>1603000</v>
      </c>
      <c r="AO278">
        <v>1626000</v>
      </c>
      <c r="AP278">
        <v>1649000</v>
      </c>
      <c r="AQ278">
        <v>1673000</v>
      </c>
      <c r="AR278">
        <v>1696000</v>
      </c>
      <c r="AS278">
        <v>1723000</v>
      </c>
      <c r="AT278">
        <v>1752000</v>
      </c>
      <c r="AU278">
        <v>1777000</v>
      </c>
      <c r="AV278">
        <v>1797000</v>
      </c>
      <c r="AW278">
        <v>1812000</v>
      </c>
      <c r="AX278">
        <v>1829000</v>
      </c>
      <c r="AY278">
        <v>1844000</v>
      </c>
      <c r="AZ278">
        <v>1851000</v>
      </c>
      <c r="BA278">
        <v>1860000</v>
      </c>
      <c r="BB278">
        <v>1873000</v>
      </c>
      <c r="BC278">
        <v>1879000</v>
      </c>
      <c r="BD278">
        <v>1863000</v>
      </c>
      <c r="BE278">
        <v>1840000</v>
      </c>
      <c r="BF278">
        <v>1822000</v>
      </c>
      <c r="BG278">
        <v>1814000</v>
      </c>
      <c r="BH278">
        <v>1810000</v>
      </c>
      <c r="BI278">
        <v>1808000</v>
      </c>
      <c r="BJ278">
        <v>1809000</v>
      </c>
      <c r="BK278">
        <v>1808000</v>
      </c>
      <c r="BL278">
        <v>1812000</v>
      </c>
      <c r="BM278">
        <v>1798000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>
      <c r="A279" t="str">
        <f>$A$80</f>
        <v xml:space="preserve">    Western Alliance Bancorp</v>
      </c>
      <c r="B279" t="str">
        <f>$B$80</f>
        <v>WAL US Equity</v>
      </c>
      <c r="C279" t="str">
        <f>$C$80</f>
        <v>BS962</v>
      </c>
      <c r="D279" t="str">
        <f>$D$80</f>
        <v>BS_RSD_MTG_SRVC_PORTFOLIO</v>
      </c>
      <c r="E279" t="str">
        <f>$E$80</f>
        <v>Dynamic</v>
      </c>
      <c r="F279" t="e">
        <f ca="1">_xll.BDH($B$80,$C$80,$B$183,$B$184,CONCATENATE("Per=",$B$181),"Dts=H","Dir=H",CONCATENATE("Points=",$B$182),"Sort=R","Days=A","Fill=B",CONCATENATE("FX=", $B$180) )</f>
        <v>#NAME?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>
      <c r="A280" t="str">
        <f>$A$81</f>
        <v xml:space="preserve">    Zions Bancorp NA</v>
      </c>
      <c r="B280" t="str">
        <f>$B$81</f>
        <v>ZION US Equity</v>
      </c>
      <c r="C280" t="str">
        <f>$C$81</f>
        <v>BS962</v>
      </c>
      <c r="D280" t="str">
        <f>$D$81</f>
        <v>BS_RSD_MTG_SRVC_PORTFOLIO</v>
      </c>
      <c r="E280" t="str">
        <f>$E$81</f>
        <v>Dynamic</v>
      </c>
      <c r="F280" t="e">
        <f ca="1">_xll.BDH($B$81,$C$81,$B$183,$B$184,CONCATENATE("Per=",$B$181),"Dts=H","Dir=H",CONCATENATE("Points=",$B$182),"Sort=R","Days=A","Fill=B",CONCATENATE("FX=", $B$180) )</f>
        <v>#NAME?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>
      <c r="A281" t="str">
        <f>$A$83</f>
        <v xml:space="preserve">    Bank OZK</v>
      </c>
      <c r="B281" t="str">
        <f>$B$83</f>
        <v>OZK US Equity</v>
      </c>
      <c r="C281" t="str">
        <f>$C$83</f>
        <v>BS961</v>
      </c>
      <c r="D281" t="str">
        <f>$D$83</f>
        <v>BS_RES_MTG_OWNED_SERVICED_PORT</v>
      </c>
      <c r="E281" t="str">
        <f>$E$83</f>
        <v>Dynamic</v>
      </c>
      <c r="F281" t="e">
        <f ca="1">_xll.BDH($B$83,$C$83,$B$183,$B$184,CONCATENATE("Per=",$B$181),"Dts=H","Dir=H",CONCATENATE("Points=",$B$182),"Sort=R","Days=A","Fill=B",CONCATENATE("FX=", $B$180) )</f>
        <v>#NAME?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>
      <c r="A282" t="str">
        <f>$A$84</f>
        <v xml:space="preserve">    Citizens Financial Group Inc</v>
      </c>
      <c r="B282" t="str">
        <f>$B$84</f>
        <v>CFG US Equity</v>
      </c>
      <c r="C282" t="str">
        <f>$C$84</f>
        <v>BS961</v>
      </c>
      <c r="D282" t="str">
        <f>$D$84</f>
        <v>BS_RES_MTG_OWNED_SERVICED_PORT</v>
      </c>
      <c r="E282" t="str">
        <f>$E$84</f>
        <v>Dynamic</v>
      </c>
      <c r="F282" t="e">
        <f ca="1">_xll.BDH($B$84,$C$84,$B$183,$B$184,CONCATENATE("Per=",$B$181),"Dts=H","Dir=H",CONCATENATE("Points=",$B$182),"Sort=R","Days=A","Fill=B",CONCATENATE("FX=", $B$180) )</f>
        <v>#NAME?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>
      <c r="A283" t="str">
        <f>$A$85</f>
        <v xml:space="preserve">    Comerica Inc</v>
      </c>
      <c r="B283" t="str">
        <f>$B$85</f>
        <v>CMA US Equity</v>
      </c>
      <c r="C283" t="str">
        <f>$C$85</f>
        <v>BS961</v>
      </c>
      <c r="D283" t="str">
        <f>$D$85</f>
        <v>BS_RES_MTG_OWNED_SERVICED_PORT</v>
      </c>
      <c r="E283" t="str">
        <f>$E$85</f>
        <v>Dynamic</v>
      </c>
      <c r="F283" t="e">
        <f ca="1">_xll.BDH($B$85,$C$85,$B$183,$B$184,CONCATENATE("Per=",$B$181),"Dts=H","Dir=H",CONCATENATE("Points=",$B$182),"Sort=R","Days=A","Fill=B",CONCATENATE("FX=", $B$180) )</f>
        <v>#NAME?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>
      <c r="A284" t="str">
        <f>$A$86</f>
        <v xml:space="preserve">    East West Bancorp Inc</v>
      </c>
      <c r="B284" t="str">
        <f>$B$86</f>
        <v>EWBC US Equity</v>
      </c>
      <c r="C284" t="str">
        <f>$C$86</f>
        <v>BS961</v>
      </c>
      <c r="D284" t="str">
        <f>$D$86</f>
        <v>BS_RES_MTG_OWNED_SERVICED_PORT</v>
      </c>
      <c r="E284" t="str">
        <f>$E$86</f>
        <v>Dynamic</v>
      </c>
      <c r="F284" t="e">
        <f ca="1">_xll.BDH($B$86,$C$86,$B$183,$B$184,CONCATENATE("Per=",$B$181),"Dts=H","Dir=H",CONCATENATE("Points=",$B$182),"Sort=R","Days=A","Fill=B",CONCATENATE("FX=", $B$180) )</f>
        <v>#NAME?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>
      <c r="A285" t="str">
        <f>$A$87</f>
        <v xml:space="preserve">    First Horizon Corp</v>
      </c>
      <c r="B285" t="str">
        <f>$B$87</f>
        <v>FHN US Equity</v>
      </c>
      <c r="C285" t="str">
        <f>$C$87</f>
        <v>BS961</v>
      </c>
      <c r="D285" t="str">
        <f>$D$87</f>
        <v>BS_RES_MTG_OWNED_SERVICED_PORT</v>
      </c>
      <c r="E285" t="str">
        <f>$E$87</f>
        <v>Dynamic</v>
      </c>
      <c r="F285" t="e">
        <f ca="1">_xll.BDH($B$87,$C$87,$B$183,$B$184,CONCATENATE("Per=",$B$181),"Dts=H","Dir=H",CONCATENATE("Points=",$B$182),"Sort=R","Days=A","Fill=B",CONCATENATE("FX=", $B$180) )</f>
        <v>#NAME?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>
      <c r="A286" t="str">
        <f>$A$88</f>
        <v xml:space="preserve">    First Republic Bank/CA</v>
      </c>
      <c r="B286" t="str">
        <f>$B$88</f>
        <v>FRCB US Equity</v>
      </c>
      <c r="C286" t="str">
        <f>$C$88</f>
        <v>BS961</v>
      </c>
      <c r="D286" t="str">
        <f>$D$88</f>
        <v>BS_RES_MTG_OWNED_SERVICED_PORT</v>
      </c>
      <c r="E286" t="str">
        <f>$E$88</f>
        <v>Dynamic</v>
      </c>
      <c r="F286" t="e">
        <f ca="1">_xll.BDH($B$88,$C$88,$B$183,$B$184,CONCATENATE("Per=",$B$181),"Dts=H","Dir=H",CONCATENATE("Points=",$B$182),"Sort=R","Days=A","Fill=B",CONCATENATE("FX=", $B$180) )</f>
        <v>#NAME?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>
      <c r="A287" t="str">
        <f>$A$89</f>
        <v xml:space="preserve">    Fifth Third Bancorp</v>
      </c>
      <c r="B287" t="str">
        <f>$B$89</f>
        <v>FITB US Equity</v>
      </c>
      <c r="C287" t="str">
        <f>$C$89</f>
        <v>BS961</v>
      </c>
      <c r="D287" t="str">
        <f>$D$89</f>
        <v>BS_RES_MTG_OWNED_SERVICED_PORT</v>
      </c>
      <c r="E287" t="str">
        <f>$E$89</f>
        <v>Dynamic</v>
      </c>
      <c r="F287" t="e">
        <f ca="1">_xll.BDH($B$89,$C$89,$B$183,$B$184,CONCATENATE("Per=",$B$181),"Dts=H","Dir=H",CONCATENATE("Points=",$B$182),"Sort=R","Days=A","Fill=B",CONCATENATE("FX=", $B$180),"cols=60;rows=1")</f>
        <v>#NAME?</v>
      </c>
      <c r="G287">
        <v>112400</v>
      </c>
      <c r="H287">
        <v>113700</v>
      </c>
      <c r="I287">
        <v>115700</v>
      </c>
      <c r="J287">
        <v>117000</v>
      </c>
      <c r="K287">
        <v>118500</v>
      </c>
      <c r="L287">
        <v>119700</v>
      </c>
      <c r="M287">
        <v>120400</v>
      </c>
      <c r="N287">
        <v>120200</v>
      </c>
      <c r="O287">
        <v>120300</v>
      </c>
      <c r="P287">
        <v>118200</v>
      </c>
      <c r="Q287">
        <v>114500</v>
      </c>
      <c r="R287">
        <v>106800</v>
      </c>
      <c r="S287">
        <v>14800</v>
      </c>
      <c r="T287">
        <v>21.5</v>
      </c>
      <c r="U287">
        <v>86700</v>
      </c>
      <c r="V287">
        <v>86600</v>
      </c>
      <c r="W287">
        <v>17900</v>
      </c>
      <c r="X287">
        <v>16600</v>
      </c>
      <c r="Y287">
        <v>0</v>
      </c>
      <c r="Z287">
        <v>17666</v>
      </c>
      <c r="AA287">
        <v>99438</v>
      </c>
      <c r="AB287">
        <v>187000</v>
      </c>
      <c r="AC287">
        <v>0</v>
      </c>
      <c r="AD287">
        <v>16046</v>
      </c>
      <c r="AE287">
        <v>16100</v>
      </c>
      <c r="AF287">
        <v>16300</v>
      </c>
      <c r="AG287">
        <v>0</v>
      </c>
      <c r="AH287">
        <v>16079</v>
      </c>
      <c r="AI287">
        <v>16300</v>
      </c>
      <c r="AJ287">
        <v>16200</v>
      </c>
      <c r="AK287">
        <v>0</v>
      </c>
      <c r="AL287">
        <v>15746</v>
      </c>
      <c r="AM287">
        <v>15600</v>
      </c>
      <c r="AN287">
        <v>15100</v>
      </c>
      <c r="AO287">
        <v>14500</v>
      </c>
      <c r="AP287">
        <v>14400</v>
      </c>
      <c r="AQ287">
        <v>14200</v>
      </c>
      <c r="AR287">
        <v>13700</v>
      </c>
      <c r="AS287">
        <v>13.2</v>
      </c>
      <c r="AT287">
        <v>79000</v>
      </c>
      <c r="AV287">
        <v>13200</v>
      </c>
      <c r="AW287">
        <v>13300</v>
      </c>
      <c r="AX287">
        <v>13500</v>
      </c>
      <c r="AY287">
        <v>11600</v>
      </c>
      <c r="AZ287">
        <v>11600</v>
      </c>
      <c r="BA287">
        <v>14700</v>
      </c>
      <c r="BB287">
        <v>14800</v>
      </c>
      <c r="BC287">
        <v>11700</v>
      </c>
      <c r="BD287">
        <v>11700</v>
      </c>
      <c r="BE287">
        <v>12500</v>
      </c>
      <c r="BF287">
        <v>13500</v>
      </c>
      <c r="BG287">
        <v>11900</v>
      </c>
      <c r="BH287">
        <v>10800</v>
      </c>
      <c r="BI287">
        <v>10600</v>
      </c>
      <c r="BJ287">
        <v>9000</v>
      </c>
      <c r="BK287">
        <v>10000</v>
      </c>
      <c r="BL287">
        <v>9700</v>
      </c>
      <c r="BM287">
        <v>9200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>
      <c r="A288" t="str">
        <f>$A$90</f>
        <v xml:space="preserve">    First Citizens BancShares Inc/</v>
      </c>
      <c r="B288" t="str">
        <f>$B$90</f>
        <v>FCNCA US Equity</v>
      </c>
      <c r="C288" t="str">
        <f>$C$90</f>
        <v>BS961</v>
      </c>
      <c r="D288" t="str">
        <f>$D$90</f>
        <v>BS_RES_MTG_OWNED_SERVICED_PORT</v>
      </c>
      <c r="E288" t="str">
        <f>$E$90</f>
        <v>Dynamic</v>
      </c>
      <c r="F288" t="e">
        <f ca="1">_xll.BDH($B$90,$C$90,$B$183,$B$184,CONCATENATE("Per=",$B$181),"Dts=H","Dir=H",CONCATENATE("Points=",$B$182),"Sort=R","Days=A","Fill=B",CONCATENATE("FX=", $B$180) )</f>
        <v>#NAME?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>
      <c r="A289" t="str">
        <f>$A$91</f>
        <v xml:space="preserve">    Flagstar Financial Inc</v>
      </c>
      <c r="B289" t="str">
        <f>$B$91</f>
        <v>FLG US Equity</v>
      </c>
      <c r="C289" t="str">
        <f>$C$91</f>
        <v>BS961</v>
      </c>
      <c r="D289" t="str">
        <f>$D$91</f>
        <v>BS_RES_MTG_OWNED_SERVICED_PORT</v>
      </c>
      <c r="E289" t="str">
        <f>$E$91</f>
        <v>Dynamic</v>
      </c>
      <c r="F289" t="e">
        <f ca="1">_xll.BDH($B$91,$C$91,$B$183,$B$184,CONCATENATE("Per=",$B$181),"Dts=H","Dir=H",CONCATENATE("Points=",$B$182),"Sort=R","Days=A","Fill=B",CONCATENATE("FX=", $B$180) )</f>
        <v>#NAME?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>
      <c r="A290" t="str">
        <f>$A$92</f>
        <v xml:space="preserve">    Huntington Bancshares Inc/OH</v>
      </c>
      <c r="B290" t="str">
        <f>$B$92</f>
        <v>HBAN US Equity</v>
      </c>
      <c r="C290" t="str">
        <f>$C$92</f>
        <v>BS961</v>
      </c>
      <c r="D290" t="str">
        <f>$D$92</f>
        <v>BS_RES_MTG_OWNED_SERVICED_PORT</v>
      </c>
      <c r="E290" t="str">
        <f>$E$92</f>
        <v>Dynamic</v>
      </c>
      <c r="F290" t="e">
        <f ca="1">_xll.BDH($B$92,$C$92,$B$183,$B$184,CONCATENATE("Per=",$B$181),"Dts=H","Dir=H",CONCATENATE("Points=",$B$182),"Sort=R","Days=A","Fill=B",CONCATENATE("FX=", $B$180) )</f>
        <v>#NAME?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>
      <c r="A291" t="str">
        <f>$A$93</f>
        <v xml:space="preserve">    KeyCorp</v>
      </c>
      <c r="B291" t="str">
        <f>$B$93</f>
        <v>KEY US Equity</v>
      </c>
      <c r="C291" t="str">
        <f>$C$93</f>
        <v>BS961</v>
      </c>
      <c r="D291" t="str">
        <f>$D$93</f>
        <v>BS_RES_MTG_OWNED_SERVICED_PORT</v>
      </c>
      <c r="E291" t="str">
        <f>$E$93</f>
        <v>Dynamic</v>
      </c>
      <c r="F291" t="e">
        <f ca="1">_xll.BDH($B$93,$C$93,$B$183,$B$184,CONCATENATE("Per=",$B$181),"Dts=H","Dir=H",CONCATENATE("Points=",$B$182),"Sort=R","Days=A","Fill=B",CONCATENATE("FX=", $B$180) )</f>
        <v>#NAME?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>
      <c r="A292" t="str">
        <f>$A$94</f>
        <v xml:space="preserve">    M&amp;T Bank Corp</v>
      </c>
      <c r="B292" t="str">
        <f>$B$94</f>
        <v>MTB US Equity</v>
      </c>
      <c r="C292" t="str">
        <f>$C$94</f>
        <v>BS961</v>
      </c>
      <c r="D292" t="str">
        <f>$D$94</f>
        <v>BS_RES_MTG_OWNED_SERVICED_PORT</v>
      </c>
      <c r="E292" t="str">
        <f>$E$94</f>
        <v>Dynamic</v>
      </c>
      <c r="F292" t="e">
        <f ca="1">_xll.BDH($B$94,$C$94,$B$183,$B$184,CONCATENATE("Per=",$B$181),"Dts=H","Dir=H",CONCATENATE("Points=",$B$182),"Sort=R","Days=A","Fill=B",CONCATENATE("FX=", $B$180) )</f>
        <v>#NAME?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>
      <c r="A293" t="str">
        <f>$A$95</f>
        <v xml:space="preserve">    PNC Financial Services Group I</v>
      </c>
      <c r="B293" t="str">
        <f>$B$95</f>
        <v>PNC US Equity</v>
      </c>
      <c r="C293" t="str">
        <f>$C$95</f>
        <v>BS961</v>
      </c>
      <c r="D293" t="str">
        <f>$D$95</f>
        <v>BS_RES_MTG_OWNED_SERVICED_PORT</v>
      </c>
      <c r="E293" t="str">
        <f>$E$95</f>
        <v>Dynamic</v>
      </c>
      <c r="F293" t="e">
        <f ca="1">_xll.BDH($B$95,$C$95,$B$183,$B$184,CONCATENATE("Per=",$B$181),"Dts=H","Dir=H",CONCATENATE("Points=",$B$182),"Sort=R","Days=A","Fill=B",CONCATENATE("FX=", $B$180),"cols=60;rows=1")</f>
        <v>#NAME?</v>
      </c>
      <c r="BF293">
        <v>13000</v>
      </c>
      <c r="BJ293">
        <v>14000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>
      <c r="A294" t="str">
        <f>$A$96</f>
        <v xml:space="preserve">    Regions Financial Corp</v>
      </c>
      <c r="B294" t="str">
        <f>$B$96</f>
        <v>RF US Equity</v>
      </c>
      <c r="C294" t="str">
        <f>$C$96</f>
        <v>BS961</v>
      </c>
      <c r="D294" t="str">
        <f>$D$96</f>
        <v>BS_RES_MTG_OWNED_SERVICED_PORT</v>
      </c>
      <c r="E294" t="str">
        <f>$E$96</f>
        <v>Dynamic</v>
      </c>
      <c r="F294" t="e">
        <f ca="1">_xll.BDH($B$96,$C$96,$B$183,$B$184,CONCATENATE("Per=",$B$181),"Dts=H","Dir=H",CONCATENATE("Points=",$B$182),"Sort=R","Days=A","Fill=B",CONCATENATE("FX=", $B$180),"cols=60;rows=1")</f>
        <v>#NAME?</v>
      </c>
      <c r="BF294">
        <v>14400</v>
      </c>
      <c r="BJ294">
        <v>15700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>
      <c r="A295" t="str">
        <f>$A$97</f>
        <v xml:space="preserve">    Signature Bank/New York NY</v>
      </c>
      <c r="B295" t="str">
        <f>$B$97</f>
        <v>SBNY US Equity</v>
      </c>
      <c r="C295" t="str">
        <f>$C$97</f>
        <v>BS961</v>
      </c>
      <c r="D295" t="str">
        <f>$D$97</f>
        <v>BS_RES_MTG_OWNED_SERVICED_PORT</v>
      </c>
      <c r="E295" t="str">
        <f>$E$97</f>
        <v>Dynamic</v>
      </c>
      <c r="F295" t="e">
        <f ca="1">_xll.BDH($B$97,$C$97,$B$183,$B$184,CONCATENATE("Per=",$B$181),"Dts=H","Dir=H",CONCATENATE("Points=",$B$182),"Sort=R","Days=A","Fill=B",CONCATENATE("FX=", $B$180) )</f>
        <v>#NAME?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>
      <c r="A296" t="str">
        <f>$A$98</f>
        <v xml:space="preserve">    SVB Financial Group</v>
      </c>
      <c r="B296" t="str">
        <f>$B$98</f>
        <v>SIVBQ US Equity</v>
      </c>
      <c r="C296" t="str">
        <f>$C$98</f>
        <v>BS961</v>
      </c>
      <c r="D296" t="str">
        <f>$D$98</f>
        <v>BS_RES_MTG_OWNED_SERVICED_PORT</v>
      </c>
      <c r="E296" t="str">
        <f>$E$98</f>
        <v>Dynamic</v>
      </c>
      <c r="F296" t="e">
        <f ca="1">_xll.BDH($B$98,$C$98,$B$183,$B$184,CONCATENATE("Per=",$B$181),"Dts=H","Dir=H",CONCATENATE("Points=",$B$182),"Sort=R","Days=A","Fill=B",CONCATENATE("FX=", $B$180) )</f>
        <v>#NAME?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>
      <c r="A297" t="str">
        <f>$A$99</f>
        <v xml:space="preserve">    Truist Financial Corp</v>
      </c>
      <c r="B297" t="str">
        <f>$B$99</f>
        <v>TFC US Equity</v>
      </c>
      <c r="C297" t="str">
        <f>$C$99</f>
        <v>BS961</v>
      </c>
      <c r="D297" t="str">
        <f>$D$99</f>
        <v>BS_RES_MTG_OWNED_SERVICED_PORT</v>
      </c>
      <c r="E297" t="str">
        <f>$E$99</f>
        <v>Dynamic</v>
      </c>
      <c r="F297" t="e">
        <f ca="1">_xll.BDH($B$99,$C$99,$B$183,$B$184,CONCATENATE("Per=",$B$181),"Dts=H","Dir=H",CONCATENATE("Points=",$B$182),"Sort=R","Days=A","Fill=B",CONCATENATE("FX=", $B$180),"cols=60;rows=1")</f>
        <v>#NAME?</v>
      </c>
      <c r="G297">
        <v>54281</v>
      </c>
      <c r="H297">
        <v>54903</v>
      </c>
      <c r="I297">
        <v>55255</v>
      </c>
      <c r="J297">
        <v>55669</v>
      </c>
      <c r="K297">
        <v>56679</v>
      </c>
      <c r="L297">
        <v>57147</v>
      </c>
      <c r="M297">
        <v>57493</v>
      </c>
      <c r="N297">
        <v>56982</v>
      </c>
      <c r="O297">
        <v>56786</v>
      </c>
      <c r="P297">
        <v>53341</v>
      </c>
      <c r="Q297">
        <v>50927</v>
      </c>
      <c r="R297">
        <v>50716</v>
      </c>
      <c r="S297">
        <v>50427</v>
      </c>
      <c r="T297">
        <v>46031</v>
      </c>
      <c r="U297">
        <v>48800</v>
      </c>
      <c r="V297">
        <v>50693</v>
      </c>
      <c r="W297">
        <v>54587</v>
      </c>
      <c r="X297">
        <v>56365</v>
      </c>
      <c r="Y297">
        <v>56325</v>
      </c>
      <c r="Z297">
        <v>60211</v>
      </c>
      <c r="AA297">
        <v>29122</v>
      </c>
      <c r="AB297">
        <v>32852</v>
      </c>
      <c r="AC297">
        <v>31861</v>
      </c>
      <c r="AD297">
        <v>31335</v>
      </c>
      <c r="AE297">
        <v>31137</v>
      </c>
      <c r="AF297">
        <v>30261</v>
      </c>
      <c r="AG297">
        <v>29081</v>
      </c>
      <c r="AH297">
        <v>29300</v>
      </c>
      <c r="AI297">
        <v>29345</v>
      </c>
      <c r="AJ297">
        <v>30067</v>
      </c>
      <c r="AK297">
        <v>30396</v>
      </c>
      <c r="AL297">
        <v>31314</v>
      </c>
      <c r="AM297">
        <v>32303</v>
      </c>
      <c r="AN297">
        <v>32647</v>
      </c>
      <c r="AO297">
        <v>30962</v>
      </c>
      <c r="AP297">
        <v>31037</v>
      </c>
      <c r="AQ297">
        <v>32134</v>
      </c>
      <c r="AR297">
        <v>31302</v>
      </c>
      <c r="AS297">
        <v>31887</v>
      </c>
      <c r="AT297">
        <v>32027</v>
      </c>
      <c r="AU297">
        <v>33490</v>
      </c>
      <c r="AV297">
        <v>34154</v>
      </c>
      <c r="AW297">
        <v>33703</v>
      </c>
      <c r="AX297">
        <v>25401</v>
      </c>
      <c r="AY297">
        <v>26782</v>
      </c>
      <c r="AZ297">
        <v>26211</v>
      </c>
      <c r="BA297">
        <v>26962</v>
      </c>
      <c r="BB297">
        <v>27501</v>
      </c>
      <c r="BC297">
        <v>27194</v>
      </c>
      <c r="BD297">
        <v>26171</v>
      </c>
      <c r="BE297">
        <v>24308</v>
      </c>
      <c r="BF297">
        <v>24574</v>
      </c>
      <c r="BG297">
        <v>22413</v>
      </c>
      <c r="BH297">
        <v>20956</v>
      </c>
      <c r="BI297">
        <v>21271</v>
      </c>
      <c r="BJ297">
        <v>21680</v>
      </c>
      <c r="BK297">
        <v>20331</v>
      </c>
      <c r="BL297">
        <v>18621</v>
      </c>
      <c r="BM297">
        <v>18719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>
      <c r="A298" t="str">
        <f>$A$100</f>
        <v xml:space="preserve">    US Bancorp</v>
      </c>
      <c r="B298" t="str">
        <f>$B$100</f>
        <v>USB US Equity</v>
      </c>
      <c r="C298" t="str">
        <f>$C$100</f>
        <v>BS961</v>
      </c>
      <c r="D298" t="str">
        <f>$D$100</f>
        <v>BS_RES_MTG_OWNED_SERVICED_PORT</v>
      </c>
      <c r="E298" t="str">
        <f>$E$100</f>
        <v>Dynamic</v>
      </c>
      <c r="F298" t="e">
        <f ca="1">_xll.BDH($B$100,$C$100,$B$183,$B$184,CONCATENATE("Per=",$B$181),"Dts=H","Dir=H",CONCATENATE("Points=",$B$182),"Sort=R","Days=A","Fill=B",CONCATENATE("FX=", $B$180) )</f>
        <v>#NAME?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>
      <c r="A299" t="str">
        <f>$A$101</f>
        <v xml:space="preserve">    Wells Fargo &amp; Co</v>
      </c>
      <c r="B299" t="str">
        <f>$B$101</f>
        <v>WFC US Equity</v>
      </c>
      <c r="C299" t="str">
        <f>$C$101</f>
        <v>BS961</v>
      </c>
      <c r="D299" t="str">
        <f>$D$101</f>
        <v>BS_RES_MTG_OWNED_SERVICED_PORT</v>
      </c>
      <c r="E299" t="str">
        <f>$E$101</f>
        <v>Dynamic</v>
      </c>
      <c r="F299" t="e">
        <f ca="1">_xll.BDH($B$101,$C$101,$B$183,$B$184,CONCATENATE("Per=",$B$181),"Dts=H","Dir=H",CONCATENATE("Points=",$B$182),"Sort=R","Days=A","Fill=B",CONCATENATE("FX=", $B$180),"cols=60;rows=1")</f>
        <v>#NAME?</v>
      </c>
      <c r="G299">
        <v>254000</v>
      </c>
      <c r="H299">
        <v>256000</v>
      </c>
      <c r="I299">
        <v>259000</v>
      </c>
      <c r="J299">
        <v>262000</v>
      </c>
      <c r="K299">
        <v>265000</v>
      </c>
      <c r="L299">
        <v>267000</v>
      </c>
      <c r="M299">
        <v>270000</v>
      </c>
      <c r="N299">
        <v>273000</v>
      </c>
      <c r="O299">
        <v>274000</v>
      </c>
      <c r="P299">
        <v>274000</v>
      </c>
      <c r="Q299">
        <v>273000</v>
      </c>
      <c r="R299">
        <v>276000</v>
      </c>
      <c r="S299">
        <v>280000</v>
      </c>
      <c r="T299">
        <v>284000</v>
      </c>
      <c r="U299">
        <v>302000</v>
      </c>
      <c r="V299">
        <v>323000</v>
      </c>
      <c r="W299">
        <v>342000</v>
      </c>
      <c r="X299">
        <v>335000</v>
      </c>
      <c r="Y299">
        <v>341000</v>
      </c>
      <c r="Z299">
        <v>343000</v>
      </c>
      <c r="AA299">
        <v>346000</v>
      </c>
      <c r="AB299">
        <v>340000</v>
      </c>
      <c r="AC299">
        <v>331000</v>
      </c>
      <c r="AD299">
        <v>334</v>
      </c>
      <c r="AE299">
        <v>337000</v>
      </c>
      <c r="AF299">
        <v>340000</v>
      </c>
      <c r="AG299">
        <v>337000</v>
      </c>
      <c r="AH299">
        <v>342000</v>
      </c>
      <c r="AI299">
        <v>340000</v>
      </c>
      <c r="AJ299">
        <v>343000</v>
      </c>
      <c r="AK299">
        <v>335000</v>
      </c>
      <c r="AL299">
        <v>347000</v>
      </c>
      <c r="AM299">
        <v>352000</v>
      </c>
      <c r="AN299">
        <v>349000</v>
      </c>
      <c r="AO299">
        <v>342000</v>
      </c>
      <c r="AP299">
        <v>345000</v>
      </c>
      <c r="AQ299">
        <v>346000</v>
      </c>
      <c r="AR299">
        <v>347000</v>
      </c>
      <c r="AS299">
        <v>344000</v>
      </c>
      <c r="AT299">
        <v>342000</v>
      </c>
      <c r="AU299">
        <v>342000</v>
      </c>
      <c r="AV299">
        <v>341000</v>
      </c>
      <c r="AW299">
        <v>337000</v>
      </c>
      <c r="AX299">
        <v>338000</v>
      </c>
      <c r="AY299">
        <v>344000</v>
      </c>
      <c r="AZ299">
        <v>358000</v>
      </c>
      <c r="BA299">
        <v>367000</v>
      </c>
      <c r="BB299">
        <v>368000</v>
      </c>
      <c r="BC299">
        <v>364000</v>
      </c>
      <c r="BD299">
        <v>357000</v>
      </c>
      <c r="BE299">
        <v>350000</v>
      </c>
      <c r="BF299">
        <v>358000</v>
      </c>
      <c r="BG299">
        <v>349000</v>
      </c>
      <c r="BH299">
        <v>338000</v>
      </c>
      <c r="BI299">
        <v>346000</v>
      </c>
      <c r="BJ299">
        <v>371000</v>
      </c>
      <c r="BK299">
        <v>365000</v>
      </c>
      <c r="BL299">
        <v>365000</v>
      </c>
      <c r="BM299">
        <v>371000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>
      <c r="A300" t="str">
        <f>$A$102</f>
        <v xml:space="preserve">    Western Alliance Bancorp</v>
      </c>
      <c r="B300" t="str">
        <f>$B$102</f>
        <v>WAL US Equity</v>
      </c>
      <c r="C300" t="str">
        <f>$C$102</f>
        <v>BS961</v>
      </c>
      <c r="D300" t="str">
        <f>$D$102</f>
        <v>BS_RES_MTG_OWNED_SERVICED_PORT</v>
      </c>
      <c r="E300" t="str">
        <f>$E$102</f>
        <v>Dynamic</v>
      </c>
      <c r="F300" t="e">
        <f ca="1">_xll.BDH($B$102,$C$102,$B$183,$B$184,CONCATENATE("Per=",$B$181),"Dts=H","Dir=H",CONCATENATE("Points=",$B$182),"Sort=R","Days=A","Fill=B",CONCATENATE("FX=", $B$180) )</f>
        <v>#NAME?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>
      <c r="A301" t="str">
        <f>$A$103</f>
        <v xml:space="preserve">    Zions Bancorp NA</v>
      </c>
      <c r="B301" t="str">
        <f>$B$103</f>
        <v>ZION US Equity</v>
      </c>
      <c r="C301" t="str">
        <f>$C$103</f>
        <v>BS961</v>
      </c>
      <c r="D301" t="str">
        <f>$D$103</f>
        <v>BS_RES_MTG_OWNED_SERVICED_PORT</v>
      </c>
      <c r="E301" t="str">
        <f>$E$103</f>
        <v>Dynamic</v>
      </c>
      <c r="F301" t="e">
        <f ca="1">_xll.BDH($B$103,$C$103,$B$183,$B$184,CONCATENATE("Per=",$B$181),"Dts=H","Dir=H",CONCATENATE("Points=",$B$182),"Sort=R","Days=A","Fill=B",CONCATENATE("FX=", $B$180) )</f>
        <v>#NAME?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>
      <c r="A302" t="str">
        <f>$A$105</f>
        <v xml:space="preserve">    Bank OZK</v>
      </c>
      <c r="B302" t="str">
        <f>$B$105</f>
        <v>OZK US Equity</v>
      </c>
      <c r="C302" t="str">
        <f>$C$105</f>
        <v>BS960</v>
      </c>
      <c r="D302" t="str">
        <f>$D$105</f>
        <v>BS_RESIDENT_MTG_SERVICED_OTHERS</v>
      </c>
      <c r="E302" t="str">
        <f>$E$105</f>
        <v>Dynamic</v>
      </c>
      <c r="F302" t="e">
        <f ca="1">_xll.BDH($B$105,$C$105,$B$183,$B$184,CONCATENATE("Per=",$B$181),"Dts=H","Dir=H",CONCATENATE("Points=",$B$182),"Sort=R","Days=A","Fill=B",CONCATENATE("FX=", $B$180) )</f>
        <v>#NAME?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>
      <c r="A303" t="str">
        <f>$A$106</f>
        <v xml:space="preserve">    Citizens Financial Group Inc</v>
      </c>
      <c r="B303" t="str">
        <f>$B$106</f>
        <v>CFG US Equity</v>
      </c>
      <c r="C303" t="str">
        <f>$C$106</f>
        <v>BS960</v>
      </c>
      <c r="D303" t="str">
        <f>$D$106</f>
        <v>BS_RESIDENT_MTG_SERVICED_OTHERS</v>
      </c>
      <c r="E303" t="str">
        <f>$E$106</f>
        <v>Dynamic</v>
      </c>
      <c r="F303" t="e">
        <f ca="1">_xll.BDH($B$106,$C$106,$B$183,$B$184,CONCATENATE("Per=",$B$181),"Dts=H","Dir=H",CONCATENATE("Points=",$B$182),"Sort=R","Days=A","Fill=B",CONCATENATE("FX=", $B$180) )</f>
        <v>#NAME?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>
      <c r="A304" t="str">
        <f>$A$107</f>
        <v xml:space="preserve">    Comerica Inc</v>
      </c>
      <c r="B304" t="str">
        <f>$B$107</f>
        <v>CMA US Equity</v>
      </c>
      <c r="C304" t="str">
        <f>$C$107</f>
        <v>BS960</v>
      </c>
      <c r="D304" t="str">
        <f>$D$107</f>
        <v>BS_RESIDENT_MTG_SERVICED_OTHERS</v>
      </c>
      <c r="E304" t="str">
        <f>$E$107</f>
        <v>Dynamic</v>
      </c>
      <c r="F304" t="e">
        <f ca="1">_xll.BDH($B$107,$C$107,$B$183,$B$184,CONCATENATE("Per=",$B$181),"Dts=H","Dir=H",CONCATENATE("Points=",$B$182),"Sort=R","Days=A","Fill=B",CONCATENATE("FX=", $B$180) )</f>
        <v>#NAME?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>
      <c r="A305" t="str">
        <f>$A$108</f>
        <v xml:space="preserve">    East West Bancorp Inc</v>
      </c>
      <c r="B305" t="str">
        <f>$B$108</f>
        <v>EWBC US Equity</v>
      </c>
      <c r="C305" t="str">
        <f>$C$108</f>
        <v>BS960</v>
      </c>
      <c r="D305" t="str">
        <f>$D$108</f>
        <v>BS_RESIDENT_MTG_SERVICED_OTHERS</v>
      </c>
      <c r="E305" t="str">
        <f>$E$108</f>
        <v>Dynamic</v>
      </c>
      <c r="F305" t="e">
        <f ca="1">_xll.BDH($B$108,$C$108,$B$183,$B$184,CONCATENATE("Per=",$B$181),"Dts=H","Dir=H",CONCATENATE("Points=",$B$182),"Sort=R","Days=A","Fill=B",CONCATENATE("FX=", $B$180) )</f>
        <v>#NAME?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>
      <c r="A306" t="str">
        <f>$A$109</f>
        <v xml:space="preserve">    First Horizon Corp</v>
      </c>
      <c r="B306" t="str">
        <f>$B$109</f>
        <v>FHN US Equity</v>
      </c>
      <c r="C306" t="str">
        <f>$C$109</f>
        <v>BS960</v>
      </c>
      <c r="D306" t="str">
        <f>$D$109</f>
        <v>BS_RESIDENT_MTG_SERVICED_OTHERS</v>
      </c>
      <c r="E306" t="str">
        <f>$E$109</f>
        <v>Dynamic</v>
      </c>
      <c r="F306" t="e">
        <f ca="1">_xll.BDH($B$109,$C$109,$B$183,$B$184,CONCATENATE("Per=",$B$181),"Dts=H","Dir=H",CONCATENATE("Points=",$B$182),"Sort=R","Days=A","Fill=B",CONCATENATE("FX=", $B$180) )</f>
        <v>#NAME?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>
      <c r="A307" t="str">
        <f>$A$110</f>
        <v xml:space="preserve">    First Republic Bank/CA</v>
      </c>
      <c r="B307" t="str">
        <f>$B$110</f>
        <v>FRCB US Equity</v>
      </c>
      <c r="C307" t="str">
        <f>$C$110</f>
        <v>BS960</v>
      </c>
      <c r="D307" t="str">
        <f>$D$110</f>
        <v>BS_RESIDENT_MTG_SERVICED_OTHERS</v>
      </c>
      <c r="E307" t="str">
        <f>$E$110</f>
        <v>Dynamic</v>
      </c>
      <c r="F307" t="e">
        <f ca="1">_xll.BDH($B$110,$C$110,$B$183,$B$184,CONCATENATE("Per=",$B$181),"Dts=H","Dir=H",CONCATENATE("Points=",$B$182),"Sort=R","Days=A","Fill=B",CONCATENATE("FX=", $B$180) )</f>
        <v>#NAME?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>
      <c r="A308" t="str">
        <f>$A$111</f>
        <v xml:space="preserve">    Fifth Third Bancorp</v>
      </c>
      <c r="B308" t="str">
        <f>$B$111</f>
        <v>FITB US Equity</v>
      </c>
      <c r="C308" t="str">
        <f>$C$111</f>
        <v>BS960</v>
      </c>
      <c r="D308" t="str">
        <f>$D$111</f>
        <v>BS_RESIDENT_MTG_SERVICED_OTHERS</v>
      </c>
      <c r="E308" t="str">
        <f>$E$111</f>
        <v>Dynamic</v>
      </c>
      <c r="F308" t="e">
        <f ca="1">_xll.BDH($B$111,$C$111,$B$183,$B$184,CONCATENATE("Per=",$B$181),"Dts=H","Dir=H",CONCATENATE("Points=",$B$182),"Sort=R","Days=A","Fill=B",CONCATENATE("FX=", $B$180),"cols=60;rows=1")</f>
        <v>#NAME?</v>
      </c>
      <c r="G308">
        <v>95808</v>
      </c>
      <c r="H308">
        <v>97280</v>
      </c>
      <c r="I308">
        <v>99596</v>
      </c>
      <c r="J308">
        <v>100842</v>
      </c>
      <c r="K308">
        <v>101889</v>
      </c>
      <c r="L308">
        <v>102817</v>
      </c>
      <c r="M308">
        <v>103399</v>
      </c>
      <c r="N308">
        <v>103154</v>
      </c>
      <c r="O308">
        <v>102696</v>
      </c>
      <c r="P308">
        <v>100519</v>
      </c>
      <c r="Q308">
        <v>97736</v>
      </c>
      <c r="R308">
        <v>89234</v>
      </c>
      <c r="S308">
        <v>77900</v>
      </c>
      <c r="T308">
        <v>71.5</v>
      </c>
      <c r="U308">
        <v>65922</v>
      </c>
      <c r="V308">
        <v>68800</v>
      </c>
      <c r="W308">
        <v>73500</v>
      </c>
      <c r="X308">
        <v>78800</v>
      </c>
      <c r="Y308">
        <v>81901</v>
      </c>
      <c r="Z308">
        <v>80734</v>
      </c>
      <c r="AA308">
        <v>16736</v>
      </c>
      <c r="AB308">
        <v>102400</v>
      </c>
      <c r="AC308">
        <v>83900</v>
      </c>
      <c r="AD308">
        <v>63154</v>
      </c>
      <c r="AE308">
        <v>64000</v>
      </c>
      <c r="AF308">
        <v>62200</v>
      </c>
      <c r="AG308">
        <v>60973</v>
      </c>
      <c r="AH308">
        <v>60021</v>
      </c>
      <c r="AI308">
        <v>60800</v>
      </c>
      <c r="AJ308">
        <v>61800</v>
      </c>
      <c r="AK308">
        <v>55413</v>
      </c>
      <c r="AL308">
        <v>53554</v>
      </c>
      <c r="AM308">
        <v>54600</v>
      </c>
      <c r="AN308">
        <v>56200</v>
      </c>
      <c r="AO308">
        <v>57800</v>
      </c>
      <c r="AP308">
        <v>59000</v>
      </c>
      <c r="AQ308">
        <v>60300</v>
      </c>
      <c r="AR308">
        <v>61700</v>
      </c>
      <c r="AS308">
        <v>64.2</v>
      </c>
      <c r="AT308">
        <v>65400</v>
      </c>
      <c r="AU308">
        <v>66808</v>
      </c>
      <c r="AV308">
        <v>68100</v>
      </c>
      <c r="AW308">
        <v>68900</v>
      </c>
      <c r="AX308">
        <v>69200</v>
      </c>
      <c r="AY308">
        <v>69000</v>
      </c>
      <c r="AZ308">
        <v>67200</v>
      </c>
      <c r="BA308">
        <v>64800</v>
      </c>
      <c r="BB308">
        <v>62500</v>
      </c>
      <c r="BC308">
        <v>62400</v>
      </c>
      <c r="BD308">
        <v>61600</v>
      </c>
      <c r="BE308">
        <v>60400</v>
      </c>
      <c r="BF308">
        <v>57100</v>
      </c>
      <c r="BG308">
        <v>56500</v>
      </c>
      <c r="BH308">
        <v>56000</v>
      </c>
      <c r="BI308">
        <v>55400</v>
      </c>
      <c r="BJ308">
        <v>54200</v>
      </c>
      <c r="BK308">
        <v>52400</v>
      </c>
      <c r="BL308">
        <v>51300</v>
      </c>
      <c r="BM308">
        <v>50300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>
      <c r="A309" t="str">
        <f>$A$112</f>
        <v xml:space="preserve">    First Citizens BancShares Inc/</v>
      </c>
      <c r="B309" t="str">
        <f>$B$112</f>
        <v>FCNCA US Equity</v>
      </c>
      <c r="C309" t="str">
        <f>$C$112</f>
        <v>BS960</v>
      </c>
      <c r="D309" t="str">
        <f>$D$112</f>
        <v>BS_RESIDENT_MTG_SERVICED_OTHERS</v>
      </c>
      <c r="E309" t="str">
        <f>$E$112</f>
        <v>Dynamic</v>
      </c>
      <c r="F309" t="e">
        <f ca="1">_xll.BDH($B$112,$C$112,$B$183,$B$184,CONCATENATE("Per=",$B$181),"Dts=H","Dir=H",CONCATENATE("Points=",$B$182),"Sort=R","Days=A","Fill=B",CONCATENATE("FX=", $B$180) )</f>
        <v>#NAME?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>
      <c r="A310" t="str">
        <f>$A$113</f>
        <v xml:space="preserve">    Flagstar Financial Inc</v>
      </c>
      <c r="B310" t="str">
        <f>$B$113</f>
        <v>FLG US Equity</v>
      </c>
      <c r="C310" t="str">
        <f>$C$113</f>
        <v>BS960</v>
      </c>
      <c r="D310" t="str">
        <f>$D$113</f>
        <v>BS_RESIDENT_MTG_SERVICED_OTHERS</v>
      </c>
      <c r="E310" t="str">
        <f>$E$113</f>
        <v>Dynamic</v>
      </c>
      <c r="F310" t="e">
        <f ca="1">_xll.BDH($B$113,$C$113,$B$183,$B$184,CONCATENATE("Per=",$B$181),"Dts=H","Dir=H",CONCATENATE("Points=",$B$182),"Sort=R","Days=A","Fill=B",CONCATENATE("FX=", $B$180) )</f>
        <v>#NAME?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>
      <c r="A311" t="str">
        <f>$A$114</f>
        <v xml:space="preserve">    Huntington Bancshares Inc/OH</v>
      </c>
      <c r="B311" t="str">
        <f>$B$114</f>
        <v>HBAN US Equity</v>
      </c>
      <c r="C311" t="str">
        <f>$C$114</f>
        <v>BS960</v>
      </c>
      <c r="D311" t="str">
        <f>$D$114</f>
        <v>BS_RESIDENT_MTG_SERVICED_OTHERS</v>
      </c>
      <c r="E311" t="str">
        <f>$E$114</f>
        <v>Dynamic</v>
      </c>
      <c r="F311" t="e">
        <f ca="1">_xll.BDH($B$114,$C$114,$B$183,$B$184,CONCATENATE("Per=",$B$181),"Dts=H","Dir=H",CONCATENATE("Points=",$B$182),"Sort=R","Days=A","Fill=B",CONCATENATE("FX=", $B$180),"cols=60;rows=1")</f>
        <v>#NAME?</v>
      </c>
      <c r="G311">
        <v>33565</v>
      </c>
      <c r="H311">
        <v>33404</v>
      </c>
      <c r="I311">
        <v>33303</v>
      </c>
      <c r="J311">
        <v>33237</v>
      </c>
      <c r="K311">
        <v>32965</v>
      </c>
      <c r="L311">
        <v>32712</v>
      </c>
      <c r="M311">
        <v>32496</v>
      </c>
      <c r="N311">
        <v>32354</v>
      </c>
      <c r="O311">
        <v>31988</v>
      </c>
      <c r="P311">
        <v>31704</v>
      </c>
      <c r="Q311">
        <v>31570</v>
      </c>
      <c r="R311">
        <v>31017</v>
      </c>
      <c r="S311">
        <v>30554</v>
      </c>
      <c r="T311">
        <v>30398</v>
      </c>
      <c r="U311">
        <v>23585</v>
      </c>
      <c r="V311">
        <v>23471</v>
      </c>
      <c r="W311">
        <v>23334</v>
      </c>
      <c r="X311">
        <v>23184</v>
      </c>
      <c r="Y311">
        <v>22775</v>
      </c>
      <c r="Z311">
        <v>22425</v>
      </c>
      <c r="AA311">
        <v>21674</v>
      </c>
      <c r="AB311">
        <v>21486</v>
      </c>
      <c r="AC311">
        <v>21346</v>
      </c>
      <c r="AD311">
        <v>21068</v>
      </c>
      <c r="AE311">
        <v>20617</v>
      </c>
      <c r="AF311">
        <v>20416</v>
      </c>
      <c r="AG311">
        <v>20225</v>
      </c>
      <c r="AH311">
        <v>19989</v>
      </c>
      <c r="AI311">
        <v>19552</v>
      </c>
      <c r="AJ311">
        <v>19111</v>
      </c>
      <c r="AK311">
        <v>19051</v>
      </c>
      <c r="AL311">
        <v>18852</v>
      </c>
      <c r="AM311">
        <v>18631</v>
      </c>
      <c r="AN311">
        <v>16211</v>
      </c>
      <c r="AO311">
        <v>16239</v>
      </c>
      <c r="AP311">
        <v>16168</v>
      </c>
      <c r="AQ311">
        <v>15941</v>
      </c>
      <c r="AR311">
        <v>15722</v>
      </c>
      <c r="AS311">
        <v>15569</v>
      </c>
      <c r="AT311">
        <v>15637</v>
      </c>
      <c r="AU311">
        <v>15.593</v>
      </c>
      <c r="AV311">
        <v>15560</v>
      </c>
      <c r="AW311">
        <v>15614</v>
      </c>
      <c r="AX311">
        <v>15239</v>
      </c>
      <c r="AY311">
        <v>30.462</v>
      </c>
      <c r="AZ311">
        <v>15213</v>
      </c>
      <c r="BA311">
        <v>15367</v>
      </c>
      <c r="BB311">
        <v>15623</v>
      </c>
      <c r="BC311">
        <v>15571</v>
      </c>
      <c r="BD311">
        <v>15724</v>
      </c>
      <c r="BE311">
        <v>15902</v>
      </c>
      <c r="BF311">
        <v>15886</v>
      </c>
      <c r="BG311">
        <v>16061</v>
      </c>
      <c r="BH311">
        <v>16315</v>
      </c>
      <c r="BI311">
        <v>16456</v>
      </c>
      <c r="BK311">
        <v>15713</v>
      </c>
      <c r="BL311">
        <v>15954</v>
      </c>
      <c r="BM311">
        <v>15968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>
      <c r="A312" t="str">
        <f>$A$115</f>
        <v xml:space="preserve">    KeyCorp</v>
      </c>
      <c r="B312" t="str">
        <f>$B$115</f>
        <v>KEY US Equity</v>
      </c>
      <c r="C312" t="str">
        <f>$C$115</f>
        <v>BS960</v>
      </c>
      <c r="D312" t="str">
        <f>$D$115</f>
        <v>BS_RESIDENT_MTG_SERVICED_OTHERS</v>
      </c>
      <c r="E312" t="str">
        <f>$E$115</f>
        <v>Dynamic</v>
      </c>
      <c r="F312" t="e">
        <f ca="1">_xll.BDH($B$115,$C$115,$B$183,$B$184,CONCATENATE("Per=",$B$181),"Dts=H","Dir=H",CONCATENATE("Points=",$B$182),"Sort=R","Days=A","Fill=B",CONCATENATE("FX=", $B$180) )</f>
        <v>#NAME?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>
      <c r="A313" t="str">
        <f>$A$116</f>
        <v xml:space="preserve">    M&amp;T Bank Corp</v>
      </c>
      <c r="B313" t="str">
        <f>$B$116</f>
        <v>MTB US Equity</v>
      </c>
      <c r="C313" t="str">
        <f>$C$116</f>
        <v>BS960</v>
      </c>
      <c r="D313" t="str">
        <f>$D$116</f>
        <v>BS_RESIDENT_MTG_SERVICED_OTHERS</v>
      </c>
      <c r="E313" t="str">
        <f>$E$116</f>
        <v>Dynamic</v>
      </c>
      <c r="F313" t="e">
        <f ca="1">_xll.BDH($B$116,$C$116,$B$183,$B$184,CONCATENATE("Per=",$B$181),"Dts=H","Dir=H",CONCATENATE("Points=",$B$182),"Sort=R","Days=A","Fill=B",CONCATENATE("FX=", $B$180),"cols=60;rows=1")</f>
        <v>#NAME?</v>
      </c>
      <c r="G313">
        <v>151304</v>
      </c>
      <c r="H313">
        <v>151520</v>
      </c>
      <c r="I313">
        <v>151562</v>
      </c>
      <c r="J313">
        <v>155342</v>
      </c>
      <c r="K313">
        <v>155103.10699999999</v>
      </c>
      <c r="L313">
        <v>153700</v>
      </c>
      <c r="M313">
        <v>139500</v>
      </c>
      <c r="N313">
        <v>118400</v>
      </c>
      <c r="O313">
        <v>104000</v>
      </c>
      <c r="P313">
        <v>102500</v>
      </c>
      <c r="Q313">
        <v>95000</v>
      </c>
      <c r="R313">
        <v>97900</v>
      </c>
      <c r="S313">
        <v>97100</v>
      </c>
      <c r="T313">
        <v>97100</v>
      </c>
      <c r="U313">
        <v>92500</v>
      </c>
      <c r="V313">
        <v>94400</v>
      </c>
      <c r="W313">
        <v>571</v>
      </c>
      <c r="X313">
        <v>95100</v>
      </c>
      <c r="Y313">
        <v>93500</v>
      </c>
      <c r="Z313">
        <v>95100</v>
      </c>
      <c r="AA313">
        <v>98300</v>
      </c>
      <c r="AB313">
        <v>102900</v>
      </c>
      <c r="AC313">
        <v>90100</v>
      </c>
      <c r="AD313">
        <v>79100</v>
      </c>
      <c r="AE313">
        <v>82700</v>
      </c>
      <c r="AF313">
        <v>76000</v>
      </c>
      <c r="AG313">
        <v>78300</v>
      </c>
      <c r="AH313">
        <v>79200</v>
      </c>
      <c r="AI313">
        <v>81900</v>
      </c>
      <c r="AJ313">
        <v>72600</v>
      </c>
      <c r="AK313">
        <v>63700</v>
      </c>
      <c r="AL313">
        <v>53200</v>
      </c>
      <c r="AM313">
        <v>55000</v>
      </c>
      <c r="AN313">
        <v>57800</v>
      </c>
      <c r="AO313">
        <v>60000</v>
      </c>
      <c r="AP313">
        <v>61700</v>
      </c>
      <c r="AQ313">
        <v>64300</v>
      </c>
      <c r="AR313">
        <v>66500</v>
      </c>
      <c r="AS313">
        <v>65000</v>
      </c>
      <c r="AT313">
        <v>64400</v>
      </c>
      <c r="AU313">
        <v>5000</v>
      </c>
      <c r="AV313">
        <v>68000</v>
      </c>
      <c r="AW313">
        <v>69900</v>
      </c>
      <c r="AX313">
        <v>69100</v>
      </c>
      <c r="AY313">
        <v>68800</v>
      </c>
      <c r="AZ313">
        <v>32300</v>
      </c>
      <c r="BA313">
        <v>32100</v>
      </c>
      <c r="BB313">
        <v>32100</v>
      </c>
      <c r="BC313">
        <v>32400</v>
      </c>
      <c r="BD313">
        <v>33700</v>
      </c>
      <c r="BE313">
        <v>35100</v>
      </c>
      <c r="BF313">
        <v>36300</v>
      </c>
      <c r="BG313">
        <v>23400</v>
      </c>
      <c r="BH313">
        <v>16800</v>
      </c>
      <c r="BI313">
        <v>16300</v>
      </c>
      <c r="BJ313">
        <v>15900</v>
      </c>
      <c r="BK313">
        <v>15900</v>
      </c>
      <c r="BL313">
        <v>15800</v>
      </c>
      <c r="BM313">
        <v>15900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>
      <c r="A314" t="str">
        <f>$A$117</f>
        <v xml:space="preserve">    PNC Financial Services Group I</v>
      </c>
      <c r="B314" t="str">
        <f>$B$117</f>
        <v>PNC US Equity</v>
      </c>
      <c r="C314" t="str">
        <f>$C$117</f>
        <v>BS960</v>
      </c>
      <c r="D314" t="str">
        <f>$D$117</f>
        <v>BS_RESIDENT_MTG_SERVICED_OTHERS</v>
      </c>
      <c r="E314" t="str">
        <f>$E$117</f>
        <v>Dynamic</v>
      </c>
      <c r="F314" t="e">
        <f ca="1">_xll.BDH($B$117,$C$117,$B$183,$B$184,CONCATENATE("Per=",$B$181),"Dts=H","Dir=H",CONCATENATE("Points=",$B$182),"Sort=R","Days=A","Fill=B",CONCATENATE("FX=", $B$180),"cols=60;rows=1")</f>
        <v>#NAME?</v>
      </c>
      <c r="G314">
        <v>200000</v>
      </c>
      <c r="H314">
        <v>204000</v>
      </c>
      <c r="I314">
        <v>207000</v>
      </c>
      <c r="J314">
        <v>209000</v>
      </c>
      <c r="K314">
        <v>213000</v>
      </c>
      <c r="L314">
        <v>191000</v>
      </c>
      <c r="M314">
        <v>188000</v>
      </c>
      <c r="N314">
        <v>190000</v>
      </c>
      <c r="O314">
        <v>170000</v>
      </c>
      <c r="P314">
        <v>145000</v>
      </c>
      <c r="Q314">
        <v>135000</v>
      </c>
      <c r="R314">
        <v>133000</v>
      </c>
      <c r="S314">
        <v>139000</v>
      </c>
      <c r="T314">
        <v>145000</v>
      </c>
      <c r="U314">
        <v>117000</v>
      </c>
      <c r="V314">
        <v>121000</v>
      </c>
      <c r="W314">
        <v>119000</v>
      </c>
      <c r="X314">
        <v>122000</v>
      </c>
      <c r="Y314">
        <v>118000</v>
      </c>
      <c r="Z314">
        <v>120000</v>
      </c>
      <c r="AA314">
        <v>123000</v>
      </c>
      <c r="AB314">
        <v>124000</v>
      </c>
      <c r="AC314">
        <v>123000</v>
      </c>
      <c r="AD314">
        <v>125000</v>
      </c>
      <c r="AE314">
        <v>127000</v>
      </c>
      <c r="AF314">
        <v>124000</v>
      </c>
      <c r="AG314">
        <v>125000</v>
      </c>
      <c r="AH314">
        <v>127000</v>
      </c>
      <c r="AI314">
        <v>129000</v>
      </c>
      <c r="AJ314">
        <v>131000</v>
      </c>
      <c r="AK314">
        <v>130000</v>
      </c>
      <c r="AL314">
        <v>125000</v>
      </c>
      <c r="AM314">
        <v>126000</v>
      </c>
      <c r="AN314">
        <v>126000</v>
      </c>
      <c r="AO314">
        <v>125000</v>
      </c>
      <c r="AP314">
        <v>123000</v>
      </c>
      <c r="AQ314">
        <v>122000</v>
      </c>
      <c r="AR314">
        <v>115000</v>
      </c>
      <c r="AS314">
        <v>113000</v>
      </c>
      <c r="AT314">
        <v>108000</v>
      </c>
      <c r="AU314">
        <v>111000</v>
      </c>
      <c r="AV314">
        <v>111000</v>
      </c>
      <c r="AW314">
        <v>114000</v>
      </c>
      <c r="AX314">
        <v>114000</v>
      </c>
      <c r="AY314">
        <v>115000</v>
      </c>
      <c r="AZ314">
        <v>116000</v>
      </c>
      <c r="BA314">
        <v>120000</v>
      </c>
      <c r="BB314">
        <v>119000</v>
      </c>
      <c r="BC314">
        <v>119246</v>
      </c>
      <c r="BD314">
        <v>116000</v>
      </c>
      <c r="BE314">
        <v>121000</v>
      </c>
      <c r="BF314">
        <v>118000</v>
      </c>
      <c r="BG314">
        <v>121000</v>
      </c>
      <c r="BH314">
        <v>125000</v>
      </c>
      <c r="BI314">
        <v>127000</v>
      </c>
      <c r="BJ314">
        <v>125000</v>
      </c>
      <c r="BK314">
        <v>131000</v>
      </c>
      <c r="BL314">
        <v>137000</v>
      </c>
      <c r="BM314">
        <v>141000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>
      <c r="A315" t="str">
        <f>$A$118</f>
        <v xml:space="preserve">    Regions Financial Corp</v>
      </c>
      <c r="B315" t="str">
        <f>$B$118</f>
        <v>RF US Equity</v>
      </c>
      <c r="C315" t="str">
        <f>$C$118</f>
        <v>BS960</v>
      </c>
      <c r="D315" t="str">
        <f>$D$118</f>
        <v>BS_RESIDENT_MTG_SERVICED_OTHERS</v>
      </c>
      <c r="E315" t="str">
        <f>$E$118</f>
        <v>Dynamic</v>
      </c>
      <c r="F315" t="e">
        <f ca="1">_xll.BDH($B$118,$C$118,$B$183,$B$184,CONCATENATE("Per=",$B$181),"Dts=H","Dir=H",CONCATENATE("Points=",$B$182),"Sort=R","Days=A","Fill=B",CONCATENATE("FX=", $B$180),"cols=60;rows=1")</f>
        <v>#NAME?</v>
      </c>
      <c r="AX315">
        <v>28500</v>
      </c>
      <c r="BB315">
        <v>26200</v>
      </c>
      <c r="BF315">
        <v>26700</v>
      </c>
      <c r="BJ315">
        <v>26000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>
      <c r="A316" t="str">
        <f>$A$119</f>
        <v xml:space="preserve">    Signature Bank/New York NY</v>
      </c>
      <c r="B316" t="str">
        <f>$B$119</f>
        <v>SBNY US Equity</v>
      </c>
      <c r="C316" t="str">
        <f>$C$119</f>
        <v>BS960</v>
      </c>
      <c r="D316" t="str">
        <f>$D$119</f>
        <v>BS_RESIDENT_MTG_SERVICED_OTHERS</v>
      </c>
      <c r="E316" t="str">
        <f>$E$119</f>
        <v>Dynamic</v>
      </c>
      <c r="F316" t="e">
        <f ca="1">_xll.BDH($B$119,$C$119,$B$183,$B$184,CONCATENATE("Per=",$B$181),"Dts=H","Dir=H",CONCATENATE("Points=",$B$182),"Sort=R","Days=A","Fill=B",CONCATENATE("FX=", $B$180) )</f>
        <v>#NAME?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>
      <c r="A317" t="str">
        <f>$A$120</f>
        <v xml:space="preserve">    SVB Financial Group</v>
      </c>
      <c r="B317" t="str">
        <f>$B$120</f>
        <v>SIVBQ US Equity</v>
      </c>
      <c r="C317" t="str">
        <f>$C$120</f>
        <v>BS960</v>
      </c>
      <c r="D317" t="str">
        <f>$D$120</f>
        <v>BS_RESIDENT_MTG_SERVICED_OTHERS</v>
      </c>
      <c r="E317" t="str">
        <f>$E$120</f>
        <v>Dynamic</v>
      </c>
      <c r="F317" t="e">
        <f ca="1">_xll.BDH($B$120,$C$120,$B$183,$B$184,CONCATENATE("Per=",$B$181),"Dts=H","Dir=H",CONCATENATE("Points=",$B$182),"Sort=R","Days=A","Fill=B",CONCATENATE("FX=", $B$180) )</f>
        <v>#NAME?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>
      <c r="A318" t="str">
        <f>$A$121</f>
        <v xml:space="preserve">    Truist Financial Corp</v>
      </c>
      <c r="B318" t="str">
        <f>$B$121</f>
        <v>TFC US Equity</v>
      </c>
      <c r="C318" t="str">
        <f>$C$121</f>
        <v>BS960</v>
      </c>
      <c r="D318" t="str">
        <f>$D$121</f>
        <v>BS_RESIDENT_MTG_SERVICED_OTHERS</v>
      </c>
      <c r="E318" t="str">
        <f>$E$121</f>
        <v>Dynamic</v>
      </c>
      <c r="F318" t="e">
        <f ca="1">_xll.BDH($B$121,$C$121,$B$183,$B$184,CONCATENATE("Per=",$B$181),"Dts=H","Dir=H",CONCATENATE("Points=",$B$182),"Sort=R","Days=A","Fill=B",CONCATENATE("FX=", $B$180),"cols=60;rows=1")</f>
        <v>#NAME?</v>
      </c>
      <c r="G318">
        <v>221143</v>
      </c>
      <c r="H318">
        <v>208270</v>
      </c>
      <c r="I318">
        <v>210635</v>
      </c>
      <c r="J318">
        <v>213399</v>
      </c>
      <c r="K318">
        <v>214953</v>
      </c>
      <c r="L318">
        <v>222917</v>
      </c>
      <c r="M318">
        <v>214830</v>
      </c>
      <c r="N318">
        <v>217046</v>
      </c>
      <c r="O318">
        <v>218740</v>
      </c>
      <c r="P318">
        <v>209504</v>
      </c>
      <c r="Q318">
        <v>195737</v>
      </c>
      <c r="R318">
        <v>196011</v>
      </c>
      <c r="S318">
        <v>198119</v>
      </c>
      <c r="T318">
        <v>178004</v>
      </c>
      <c r="U318">
        <v>179836</v>
      </c>
      <c r="V318">
        <v>188341</v>
      </c>
      <c r="W318">
        <v>198881</v>
      </c>
      <c r="X318">
        <v>209070</v>
      </c>
      <c r="Y318">
        <v>219979</v>
      </c>
      <c r="Z318">
        <v>219347</v>
      </c>
      <c r="AA318">
        <v>87147</v>
      </c>
      <c r="AB318">
        <v>85060</v>
      </c>
      <c r="AC318">
        <v>86119</v>
      </c>
      <c r="AD318">
        <v>87270</v>
      </c>
      <c r="AE318">
        <v>88323</v>
      </c>
      <c r="AF318">
        <v>88492</v>
      </c>
      <c r="AG318">
        <v>88746</v>
      </c>
      <c r="AH318">
        <v>89124</v>
      </c>
      <c r="AI318">
        <v>89391</v>
      </c>
      <c r="AJ318">
        <v>90106</v>
      </c>
      <c r="AK318">
        <v>90855</v>
      </c>
      <c r="AL318">
        <v>90325</v>
      </c>
      <c r="AM318">
        <v>90157</v>
      </c>
      <c r="AN318">
        <v>89970</v>
      </c>
      <c r="AO318">
        <v>90541</v>
      </c>
      <c r="AP318">
        <v>91132</v>
      </c>
      <c r="AQ318">
        <v>90446</v>
      </c>
      <c r="AR318">
        <v>89235</v>
      </c>
      <c r="AS318">
        <v>89192</v>
      </c>
      <c r="AT318">
        <v>90230</v>
      </c>
      <c r="AU318">
        <v>89936</v>
      </c>
      <c r="AV318">
        <v>88595</v>
      </c>
      <c r="AW318">
        <v>88239</v>
      </c>
      <c r="AX318">
        <v>87434</v>
      </c>
      <c r="AY318">
        <v>84025</v>
      </c>
      <c r="AZ318">
        <v>80846</v>
      </c>
      <c r="BA318">
        <v>76830</v>
      </c>
      <c r="BB318">
        <v>73769</v>
      </c>
      <c r="BC318">
        <v>72343</v>
      </c>
      <c r="BD318">
        <v>71389</v>
      </c>
      <c r="BE318">
        <v>70318</v>
      </c>
      <c r="BF318">
        <v>67066</v>
      </c>
      <c r="BG318">
        <v>66305</v>
      </c>
      <c r="BH318">
        <v>65872</v>
      </c>
      <c r="BI318">
        <v>64894</v>
      </c>
      <c r="BJ318">
        <v>61795</v>
      </c>
      <c r="BK318">
        <v>60207</v>
      </c>
      <c r="BL318">
        <v>59322</v>
      </c>
      <c r="BM318">
        <v>57200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>
      <c r="A319" t="str">
        <f>$A$122</f>
        <v xml:space="preserve">    US Bancorp</v>
      </c>
      <c r="B319" t="str">
        <f>$B$122</f>
        <v>USB US Equity</v>
      </c>
      <c r="C319" t="str">
        <f>$C$122</f>
        <v>BS960</v>
      </c>
      <c r="D319" t="str">
        <f>$D$122</f>
        <v>BS_RESIDENT_MTG_SERVICED_OTHERS</v>
      </c>
      <c r="E319" t="str">
        <f>$E$122</f>
        <v>Dynamic</v>
      </c>
      <c r="F319" t="e">
        <f ca="1">_xll.BDH($B$122,$C$122,$B$183,$B$184,CONCATENATE("Per=",$B$181),"Dts=H","Dir=H",CONCATENATE("Points=",$B$182),"Sort=R","Days=A","Fill=B",CONCATENATE("FX=", $B$180),"cols=60;rows=1")</f>
        <v>#NAME?</v>
      </c>
      <c r="G319">
        <v>215286</v>
      </c>
      <c r="H319">
        <v>225780</v>
      </c>
      <c r="I319">
        <v>232907</v>
      </c>
      <c r="J319">
        <v>233382</v>
      </c>
      <c r="K319">
        <v>232263</v>
      </c>
      <c r="L319">
        <v>251572</v>
      </c>
      <c r="M319">
        <v>245617</v>
      </c>
      <c r="N319">
        <v>243626</v>
      </c>
      <c r="O319">
        <v>228992</v>
      </c>
      <c r="P319">
        <v>226372</v>
      </c>
      <c r="Q319">
        <v>227179</v>
      </c>
      <c r="R319">
        <v>218953</v>
      </c>
      <c r="S319">
        <v>215973</v>
      </c>
      <c r="T319">
        <v>215030</v>
      </c>
      <c r="U319">
        <v>208662</v>
      </c>
      <c r="V319">
        <v>208955</v>
      </c>
      <c r="W319">
        <v>211798</v>
      </c>
      <c r="X319">
        <v>217650</v>
      </c>
      <c r="Y319">
        <v>224120</v>
      </c>
      <c r="Z319">
        <v>223518</v>
      </c>
      <c r="AA319">
        <v>225399</v>
      </c>
      <c r="AB319">
        <v>226969</v>
      </c>
      <c r="AC319">
        <v>230521</v>
      </c>
      <c r="AD319">
        <v>229284</v>
      </c>
      <c r="AE319">
        <v>230543</v>
      </c>
      <c r="AF319">
        <v>232746</v>
      </c>
      <c r="AG319">
        <v>233052</v>
      </c>
      <c r="AH319">
        <v>232846</v>
      </c>
      <c r="AI319">
        <v>231315</v>
      </c>
      <c r="AJ319">
        <v>230690</v>
      </c>
      <c r="AK319">
        <v>231885</v>
      </c>
      <c r="AL319">
        <v>230047</v>
      </c>
      <c r="AM319">
        <v>229647</v>
      </c>
      <c r="AN319">
        <v>229449</v>
      </c>
      <c r="AO319">
        <v>229748</v>
      </c>
      <c r="AP319">
        <v>229375</v>
      </c>
      <c r="AQ319">
        <v>226935</v>
      </c>
      <c r="AR319">
        <v>223175</v>
      </c>
      <c r="AS319">
        <v>222965</v>
      </c>
      <c r="AT319">
        <v>222797</v>
      </c>
      <c r="AU319">
        <v>222409</v>
      </c>
      <c r="AV319">
        <v>222497</v>
      </c>
      <c r="AW319">
        <v>224637</v>
      </c>
      <c r="AX319">
        <v>226842</v>
      </c>
      <c r="AY319">
        <v>226727</v>
      </c>
      <c r="AZ319">
        <v>223904</v>
      </c>
      <c r="BA319">
        <v>220321</v>
      </c>
      <c r="BB319">
        <v>215637</v>
      </c>
      <c r="BC319">
        <v>211263</v>
      </c>
      <c r="BD319">
        <v>207427</v>
      </c>
      <c r="BE319">
        <v>200171</v>
      </c>
      <c r="BF319">
        <v>191082</v>
      </c>
      <c r="BG319">
        <v>185555</v>
      </c>
      <c r="BH319">
        <v>184858</v>
      </c>
      <c r="BI319">
        <v>182665</v>
      </c>
      <c r="BJ319">
        <v>173919</v>
      </c>
      <c r="BK319">
        <v>165938</v>
      </c>
      <c r="BL319">
        <v>163231</v>
      </c>
      <c r="BM319">
        <v>156512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>
      <c r="A320" t="str">
        <f>$A$123</f>
        <v xml:space="preserve">    Wells Fargo &amp; Co</v>
      </c>
      <c r="B320" t="str">
        <f>$B$123</f>
        <v>WFC US Equity</v>
      </c>
      <c r="C320" t="str">
        <f>$C$123</f>
        <v>BS960</v>
      </c>
      <c r="D320" t="str">
        <f>$D$123</f>
        <v>BS_RESIDENT_MTG_SERVICED_OTHERS</v>
      </c>
      <c r="E320" t="str">
        <f>$E$123</f>
        <v>Dynamic</v>
      </c>
      <c r="F320" t="e">
        <f ca="1">_xll.BDH($B$123,$C$123,$B$183,$B$184,CONCATENATE("Per=",$B$181),"Dts=H","Dir=H",CONCATENATE("Points=",$B$182),"Sort=R","Days=A","Fill=B",CONCATENATE("FX=", $B$180),"cols=60;rows=1")</f>
        <v>#NAME?</v>
      </c>
      <c r="G320">
        <v>500000</v>
      </c>
      <c r="H320">
        <v>515000</v>
      </c>
      <c r="I320">
        <v>536000</v>
      </c>
      <c r="J320">
        <v>560000</v>
      </c>
      <c r="K320">
        <v>592000</v>
      </c>
      <c r="L320">
        <v>637000</v>
      </c>
      <c r="M320">
        <v>668000</v>
      </c>
      <c r="N320">
        <v>681000</v>
      </c>
      <c r="O320">
        <v>688000</v>
      </c>
      <c r="P320">
        <v>699000</v>
      </c>
      <c r="Q320">
        <v>705000</v>
      </c>
      <c r="R320">
        <v>718000</v>
      </c>
      <c r="S320">
        <v>741000</v>
      </c>
      <c r="T320">
        <v>771000</v>
      </c>
      <c r="U320">
        <v>804000</v>
      </c>
      <c r="V320">
        <v>859000</v>
      </c>
      <c r="W320">
        <v>920000</v>
      </c>
      <c r="X320">
        <v>992000</v>
      </c>
      <c r="Y320">
        <v>1041000</v>
      </c>
      <c r="Z320">
        <v>1063000</v>
      </c>
      <c r="AA320">
        <v>1086000</v>
      </c>
      <c r="AB320">
        <v>1112000</v>
      </c>
      <c r="AC320">
        <v>1125000</v>
      </c>
      <c r="AD320">
        <v>1164</v>
      </c>
      <c r="AE320">
        <v>1184000</v>
      </c>
      <c r="AF320">
        <v>1190000</v>
      </c>
      <c r="AG320">
        <v>1201000</v>
      </c>
      <c r="AH320">
        <v>1209000</v>
      </c>
      <c r="AI320">
        <v>1223000</v>
      </c>
      <c r="AJ320">
        <v>1189000</v>
      </c>
      <c r="AK320">
        <v>1204000</v>
      </c>
      <c r="AL320">
        <v>1205000</v>
      </c>
      <c r="AM320">
        <v>1226000</v>
      </c>
      <c r="AN320">
        <v>1250000</v>
      </c>
      <c r="AO320">
        <v>1280000</v>
      </c>
      <c r="AP320">
        <v>1300000</v>
      </c>
      <c r="AQ320">
        <v>1324323</v>
      </c>
      <c r="AR320">
        <v>1344000</v>
      </c>
      <c r="AS320">
        <v>1374000</v>
      </c>
      <c r="AT320">
        <v>1405000</v>
      </c>
      <c r="AU320">
        <v>1430000</v>
      </c>
      <c r="AV320">
        <v>1451000</v>
      </c>
      <c r="AW320">
        <v>1470000</v>
      </c>
      <c r="AX320">
        <v>1485000</v>
      </c>
      <c r="AY320">
        <v>1494000</v>
      </c>
      <c r="AZ320">
        <v>1487000</v>
      </c>
      <c r="BA320">
        <v>1486000</v>
      </c>
      <c r="BB320">
        <v>1498000</v>
      </c>
      <c r="BC320">
        <v>1508000</v>
      </c>
      <c r="BD320">
        <v>1499000</v>
      </c>
      <c r="BE320">
        <v>1483000</v>
      </c>
      <c r="BF320">
        <v>1456000</v>
      </c>
      <c r="BG320">
        <v>1457000</v>
      </c>
      <c r="BH320">
        <v>1464000</v>
      </c>
      <c r="BI320">
        <v>1453000</v>
      </c>
      <c r="BJ320">
        <v>1429000</v>
      </c>
      <c r="BK320">
        <v>1433000</v>
      </c>
      <c r="BL320">
        <v>1437000</v>
      </c>
      <c r="BM320">
        <v>1417000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>
      <c r="A321" t="str">
        <f>$A$124</f>
        <v xml:space="preserve">    Western Alliance Bancorp</v>
      </c>
      <c r="B321" t="str">
        <f>$B$124</f>
        <v>WAL US Equity</v>
      </c>
      <c r="C321" t="str">
        <f>$C$124</f>
        <v>BS960</v>
      </c>
      <c r="D321" t="str">
        <f>$D$124</f>
        <v>BS_RESIDENT_MTG_SERVICED_OTHERS</v>
      </c>
      <c r="E321" t="str">
        <f>$E$124</f>
        <v>Dynamic</v>
      </c>
      <c r="F321" t="e">
        <f ca="1">_xll.BDH($B$124,$C$124,$B$183,$B$184,CONCATENATE("Per=",$B$181),"Dts=H","Dir=H",CONCATENATE("Points=",$B$182),"Sort=R","Days=A","Fill=B",CONCATENATE("FX=", $B$180) )</f>
        <v>#NAME?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>
      <c r="A322" t="str">
        <f>$A$125</f>
        <v xml:space="preserve">    Zions Bancorp NA</v>
      </c>
      <c r="B322" t="str">
        <f>$B$125</f>
        <v>ZION US Equity</v>
      </c>
      <c r="C322" t="str">
        <f>$C$125</f>
        <v>BS960</v>
      </c>
      <c r="D322" t="str">
        <f>$D$125</f>
        <v>BS_RESIDENT_MTG_SERVICED_OTHERS</v>
      </c>
      <c r="E322" t="str">
        <f>$E$125</f>
        <v>Dynamic</v>
      </c>
      <c r="F322" t="e">
        <f ca="1">_xll.BDH($B$125,$C$125,$B$183,$B$184,CONCATENATE("Per=",$B$181),"Dts=H","Dir=H",CONCATENATE("Points=",$B$182),"Sort=R","Days=A","Fill=B",CONCATENATE("FX=", $B$180) )</f>
        <v>#NAME?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>
      <c r="A323" t="str">
        <f>$A$127</f>
        <v xml:space="preserve">    Bank OZK</v>
      </c>
      <c r="B323" t="str">
        <f>$B$127</f>
        <v>OZK US Equity</v>
      </c>
      <c r="C323" t="str">
        <f>$C$127</f>
        <v>BS965</v>
      </c>
      <c r="D323" t="str">
        <f>$D$127</f>
        <v>BS_COMML_MTG_SERVICING_PORTFOLIO</v>
      </c>
      <c r="E323" t="str">
        <f>$E$127</f>
        <v>Dynamic</v>
      </c>
      <c r="F323" t="e">
        <f ca="1">_xll.BDH($B$127,$C$127,$B$183,$B$184,CONCATENATE("Per=",$B$181),"Dts=H","Dir=H",CONCATENATE("Points=",$B$182),"Sort=R","Days=A","Fill=B",CONCATENATE("FX=", $B$180) )</f>
        <v>#NAME?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>
      <c r="A324" t="str">
        <f>$A$128</f>
        <v xml:space="preserve">    Citizens Financial Group Inc</v>
      </c>
      <c r="B324" t="str">
        <f>$B$128</f>
        <v>CFG US Equity</v>
      </c>
      <c r="C324" t="str">
        <f>$C$128</f>
        <v>BS965</v>
      </c>
      <c r="D324" t="str">
        <f>$D$128</f>
        <v>BS_COMML_MTG_SERVICING_PORTFOLIO</v>
      </c>
      <c r="E324" t="str">
        <f>$E$128</f>
        <v>Dynamic</v>
      </c>
      <c r="F324" t="e">
        <f ca="1">_xll.BDH($B$128,$C$128,$B$183,$B$184,CONCATENATE("Per=",$B$181),"Dts=H","Dir=H",CONCATENATE("Points=",$B$182),"Sort=R","Days=A","Fill=B",CONCATENATE("FX=", $B$180) )</f>
        <v>#NAME?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>
      <c r="A325" t="str">
        <f>$A$129</f>
        <v xml:space="preserve">    Comerica Inc</v>
      </c>
      <c r="B325" t="str">
        <f>$B$129</f>
        <v>CMA US Equity</v>
      </c>
      <c r="C325" t="str">
        <f>$C$129</f>
        <v>BS965</v>
      </c>
      <c r="D325" t="str">
        <f>$D$129</f>
        <v>BS_COMML_MTG_SERVICING_PORTFOLIO</v>
      </c>
      <c r="E325" t="str">
        <f>$E$129</f>
        <v>Dynamic</v>
      </c>
      <c r="F325" t="e">
        <f ca="1">_xll.BDH($B$129,$C$129,$B$183,$B$184,CONCATENATE("Per=",$B$181),"Dts=H","Dir=H",CONCATENATE("Points=",$B$182),"Sort=R","Days=A","Fill=B",CONCATENATE("FX=", $B$180) )</f>
        <v>#NAME?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>
      <c r="A326" t="str">
        <f>$A$130</f>
        <v xml:space="preserve">    East West Bancorp Inc</v>
      </c>
      <c r="B326" t="str">
        <f>$B$130</f>
        <v>EWBC US Equity</v>
      </c>
      <c r="C326" t="str">
        <f>$C$130</f>
        <v>BS965</v>
      </c>
      <c r="D326" t="str">
        <f>$D$130</f>
        <v>BS_COMML_MTG_SERVICING_PORTFOLIO</v>
      </c>
      <c r="E326" t="str">
        <f>$E$130</f>
        <v>Dynamic</v>
      </c>
      <c r="F326" t="e">
        <f ca="1">_xll.BDH($B$130,$C$130,$B$183,$B$184,CONCATENATE("Per=",$B$181),"Dts=H","Dir=H",CONCATENATE("Points=",$B$182),"Sort=R","Days=A","Fill=B",CONCATENATE("FX=", $B$180) )</f>
        <v>#NAME?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>
      <c r="A327" t="str">
        <f>$A$131</f>
        <v xml:space="preserve">    First Horizon Corp</v>
      </c>
      <c r="B327" t="str">
        <f>$B$131</f>
        <v>FHN US Equity</v>
      </c>
      <c r="C327" t="str">
        <f>$C$131</f>
        <v>BS965</v>
      </c>
      <c r="D327" t="str">
        <f>$D$131</f>
        <v>BS_COMML_MTG_SERVICING_PORTFOLIO</v>
      </c>
      <c r="E327" t="str">
        <f>$E$131</f>
        <v>Dynamic</v>
      </c>
      <c r="F327" t="e">
        <f ca="1">_xll.BDH($B$131,$C$131,$B$183,$B$184,CONCATENATE("Per=",$B$181),"Dts=H","Dir=H",CONCATENATE("Points=",$B$182),"Sort=R","Days=A","Fill=B",CONCATENATE("FX=", $B$180) )</f>
        <v>#NAME?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>
      <c r="A328" t="str">
        <f>$A$132</f>
        <v xml:space="preserve">    First Republic Bank/CA</v>
      </c>
      <c r="B328" t="str">
        <f>$B$132</f>
        <v>FRCB US Equity</v>
      </c>
      <c r="C328" t="str">
        <f>$C$132</f>
        <v>BS965</v>
      </c>
      <c r="D328" t="str">
        <f>$D$132</f>
        <v>BS_COMML_MTG_SERVICING_PORTFOLIO</v>
      </c>
      <c r="E328" t="str">
        <f>$E$132</f>
        <v>Dynamic</v>
      </c>
      <c r="F328" t="e">
        <f ca="1">_xll.BDH($B$132,$C$132,$B$183,$B$184,CONCATENATE("Per=",$B$181),"Dts=H","Dir=H",CONCATENATE("Points=",$B$182),"Sort=R","Days=A","Fill=B",CONCATENATE("FX=", $B$180) )</f>
        <v>#NAME?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>
      <c r="A329" t="str">
        <f>$A$133</f>
        <v xml:space="preserve">    Fifth Third Bancorp</v>
      </c>
      <c r="B329" t="str">
        <f>$B$133</f>
        <v>FITB US Equity</v>
      </c>
      <c r="C329" t="str">
        <f>$C$133</f>
        <v>BS965</v>
      </c>
      <c r="D329" t="str">
        <f>$D$133</f>
        <v>BS_COMML_MTG_SERVICING_PORTFOLIO</v>
      </c>
      <c r="E329" t="str">
        <f>$E$133</f>
        <v>Dynamic</v>
      </c>
      <c r="F329" t="e">
        <f ca="1">_xll.BDH($B$133,$C$133,$B$183,$B$184,CONCATENATE("Per=",$B$181),"Dts=H","Dir=H",CONCATENATE("Points=",$B$182),"Sort=R","Days=A","Fill=B",CONCATENATE("FX=", $B$180) )</f>
        <v>#NAME?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>
      <c r="A330" t="str">
        <f>$A$134</f>
        <v xml:space="preserve">    First Citizens BancShares Inc/</v>
      </c>
      <c r="B330" t="str">
        <f>$B$134</f>
        <v>FCNCA US Equity</v>
      </c>
      <c r="C330" t="str">
        <f>$C$134</f>
        <v>BS965</v>
      </c>
      <c r="D330" t="str">
        <f>$D$134</f>
        <v>BS_COMML_MTG_SERVICING_PORTFOLIO</v>
      </c>
      <c r="E330" t="str">
        <f>$E$134</f>
        <v>Dynamic</v>
      </c>
      <c r="F330" t="e">
        <f ca="1">_xll.BDH($B$134,$C$134,$B$183,$B$184,CONCATENATE("Per=",$B$181),"Dts=H","Dir=H",CONCATENATE("Points=",$B$182),"Sort=R","Days=A","Fill=B",CONCATENATE("FX=", $B$180) )</f>
        <v>#NAME?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>
      <c r="A331" t="str">
        <f>$A$135</f>
        <v xml:space="preserve">    Flagstar Financial Inc</v>
      </c>
      <c r="B331" t="str">
        <f>$B$135</f>
        <v>FLG US Equity</v>
      </c>
      <c r="C331" t="str">
        <f>$C$135</f>
        <v>BS965</v>
      </c>
      <c r="D331" t="str">
        <f>$D$135</f>
        <v>BS_COMML_MTG_SERVICING_PORTFOLIO</v>
      </c>
      <c r="E331" t="str">
        <f>$E$135</f>
        <v>Dynamic</v>
      </c>
      <c r="F331" t="e">
        <f ca="1">_xll.BDH($B$135,$C$135,$B$183,$B$184,CONCATENATE("Per=",$B$181),"Dts=H","Dir=H",CONCATENATE("Points=",$B$182),"Sort=R","Days=A","Fill=B",CONCATENATE("FX=", $B$180) )</f>
        <v>#NAME?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>
      <c r="A332" t="str">
        <f>$A$136</f>
        <v xml:space="preserve">    Huntington Bancshares Inc/OH</v>
      </c>
      <c r="B332" t="str">
        <f>$B$136</f>
        <v>HBAN US Equity</v>
      </c>
      <c r="C332" t="str">
        <f>$C$136</f>
        <v>BS965</v>
      </c>
      <c r="D332" t="str">
        <f>$D$136</f>
        <v>BS_COMML_MTG_SERVICING_PORTFOLIO</v>
      </c>
      <c r="E332" t="str">
        <f>$E$136</f>
        <v>Dynamic</v>
      </c>
      <c r="F332" t="e">
        <f ca="1">_xll.BDH($B$136,$C$136,$B$183,$B$184,CONCATENATE("Per=",$B$181),"Dts=H","Dir=H",CONCATENATE("Points=",$B$182),"Sort=R","Days=A","Fill=B",CONCATENATE("FX=", $B$180) )</f>
        <v>#NAME?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>
      <c r="A333" t="str">
        <f>$A$137</f>
        <v xml:space="preserve">    KeyCorp</v>
      </c>
      <c r="B333" t="str">
        <f>$B$137</f>
        <v>KEY US Equity</v>
      </c>
      <c r="C333" t="str">
        <f>$C$137</f>
        <v>BS965</v>
      </c>
      <c r="D333" t="str">
        <f>$D$137</f>
        <v>BS_COMML_MTG_SERVICING_PORTFOLIO</v>
      </c>
      <c r="E333" t="str">
        <f>$E$137</f>
        <v>Dynamic</v>
      </c>
      <c r="F333" t="e">
        <f ca="1">_xll.BDH($B$137,$C$137,$B$183,$B$184,CONCATENATE("Per=",$B$181),"Dts=H","Dir=H",CONCATENATE("Points=",$B$182),"Sort=R","Days=A","Fill=B",CONCATENATE("FX=", $B$180),"cols=60;rows=1")</f>
        <v>#NAME?</v>
      </c>
      <c r="G333">
        <v>557387</v>
      </c>
      <c r="H333">
        <v>535826</v>
      </c>
      <c r="I333">
        <v>505152</v>
      </c>
      <c r="J333">
        <v>499449</v>
      </c>
      <c r="K333">
        <v>500373</v>
      </c>
      <c r="L333">
        <v>493396</v>
      </c>
      <c r="M333">
        <v>493865</v>
      </c>
      <c r="N333">
        <v>488478</v>
      </c>
      <c r="O333">
        <v>485342</v>
      </c>
      <c r="P333">
        <v>479974</v>
      </c>
      <c r="Q333">
        <v>469371</v>
      </c>
      <c r="R333">
        <v>444131</v>
      </c>
      <c r="S333">
        <v>422091</v>
      </c>
      <c r="T333">
        <v>400215</v>
      </c>
      <c r="U333">
        <v>386908</v>
      </c>
      <c r="V333">
        <v>371016</v>
      </c>
      <c r="W333">
        <v>380110</v>
      </c>
      <c r="X333">
        <v>357509</v>
      </c>
      <c r="Z333">
        <v>347186</v>
      </c>
      <c r="AA333">
        <v>317152</v>
      </c>
      <c r="AB333">
        <v>310792</v>
      </c>
      <c r="AC333">
        <v>300989</v>
      </c>
      <c r="AD333">
        <v>291158</v>
      </c>
      <c r="AE333">
        <v>270771</v>
      </c>
      <c r="AF333">
        <v>256062</v>
      </c>
      <c r="AG333">
        <v>246089</v>
      </c>
      <c r="AH333">
        <v>238718</v>
      </c>
      <c r="AI333">
        <v>224361</v>
      </c>
      <c r="AJ333">
        <v>218667</v>
      </c>
      <c r="AK333">
        <v>218387</v>
      </c>
      <c r="AL333">
        <v>218135</v>
      </c>
      <c r="AM333">
        <v>213998</v>
      </c>
      <c r="AN333">
        <v>213879</v>
      </c>
      <c r="AO333">
        <v>214756</v>
      </c>
      <c r="AP333">
        <v>211274</v>
      </c>
      <c r="AQ333">
        <v>209410</v>
      </c>
      <c r="AR333">
        <v>203315</v>
      </c>
      <c r="AS333">
        <v>201397</v>
      </c>
      <c r="AT333">
        <v>191407</v>
      </c>
      <c r="AU333">
        <v>179293</v>
      </c>
      <c r="AV333">
        <v>179194</v>
      </c>
      <c r="AW333">
        <v>174601</v>
      </c>
      <c r="AX333">
        <v>177731</v>
      </c>
      <c r="AY333">
        <v>199464</v>
      </c>
      <c r="AZ333">
        <v>172398</v>
      </c>
      <c r="BA333">
        <v>109173</v>
      </c>
      <c r="BB333">
        <v>107630</v>
      </c>
      <c r="BC333">
        <v>98309</v>
      </c>
      <c r="BD333">
        <v>97329</v>
      </c>
      <c r="BE333">
        <v>96519</v>
      </c>
      <c r="BF333">
        <v>99608</v>
      </c>
      <c r="BG333">
        <v>102734</v>
      </c>
      <c r="BH333">
        <v>107077</v>
      </c>
      <c r="BI333">
        <v>115369</v>
      </c>
      <c r="BJ333">
        <v>117071</v>
      </c>
      <c r="BK333">
        <v>119294</v>
      </c>
      <c r="BL333">
        <v>120495</v>
      </c>
      <c r="BM333">
        <v>122542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>
      <c r="A334" t="str">
        <f>$A$138</f>
        <v xml:space="preserve">    M&amp;T Bank Corp</v>
      </c>
      <c r="B334" t="str">
        <f>$B$138</f>
        <v>MTB US Equity</v>
      </c>
      <c r="C334" t="str">
        <f>$C$138</f>
        <v>BS965</v>
      </c>
      <c r="D334" t="str">
        <f>$D$138</f>
        <v>BS_COMML_MTG_SERVICING_PORTFOLIO</v>
      </c>
      <c r="E334" t="str">
        <f>$E$138</f>
        <v>Dynamic</v>
      </c>
      <c r="F334" t="e">
        <f ca="1">_xll.BDH($B$138,$C$138,$B$183,$B$184,CONCATENATE("Per=",$B$181),"Dts=H","Dir=H",CONCATENATE("Points=",$B$182),"Sort=R","Days=A","Fill=B",CONCATENATE("FX=", $B$180) )</f>
        <v>#NAME?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>
      <c r="A335" t="str">
        <f>$A$139</f>
        <v xml:space="preserve">    PNC Financial Services Group I</v>
      </c>
      <c r="B335" t="str">
        <f>$B$139</f>
        <v>PNC US Equity</v>
      </c>
      <c r="C335" t="str">
        <f>$C$139</f>
        <v>BS965</v>
      </c>
      <c r="D335" t="str">
        <f>$D$139</f>
        <v>BS_COMML_MTG_SERVICING_PORTFOLIO</v>
      </c>
      <c r="E335" t="str">
        <f>$E$139</f>
        <v>Dynamic</v>
      </c>
      <c r="F335" t="e">
        <f ca="1">_xll.BDH($B$139,$C$139,$B$183,$B$184,CONCATENATE("Per=",$B$181),"Dts=H","Dir=H",CONCATENATE("Points=",$B$182),"Sort=R","Days=A","Fill=B",CONCATENATE("FX=", $B$180),"cols=60;rows=1")</f>
        <v>#NAME?</v>
      </c>
      <c r="AI335">
        <v>513000</v>
      </c>
      <c r="AJ335">
        <v>502000</v>
      </c>
      <c r="AK335">
        <v>490000</v>
      </c>
      <c r="AL335">
        <v>487000</v>
      </c>
      <c r="AM335">
        <v>461000</v>
      </c>
      <c r="AN335">
        <v>459000</v>
      </c>
      <c r="AO335">
        <v>453000</v>
      </c>
      <c r="AP335">
        <v>447000</v>
      </c>
      <c r="AQ335">
        <v>441000</v>
      </c>
      <c r="AR335">
        <v>436000</v>
      </c>
      <c r="AS335">
        <v>390000</v>
      </c>
      <c r="AT335">
        <v>336000</v>
      </c>
      <c r="AU335">
        <v>363000</v>
      </c>
      <c r="AV335">
        <v>353000</v>
      </c>
      <c r="AW335">
        <v>313000</v>
      </c>
      <c r="AX335">
        <v>347000</v>
      </c>
      <c r="AY335">
        <v>298000</v>
      </c>
      <c r="AZ335">
        <v>294000</v>
      </c>
      <c r="BA335">
        <v>290000</v>
      </c>
      <c r="BB335">
        <v>282000</v>
      </c>
      <c r="BC335">
        <v>265000</v>
      </c>
      <c r="BD335">
        <v>264000</v>
      </c>
      <c r="BE335">
        <v>268000</v>
      </c>
      <c r="BF335">
        <v>267000</v>
      </c>
      <c r="BG335">
        <v>267000</v>
      </c>
      <c r="BH335">
        <v>268000</v>
      </c>
      <c r="BI335">
        <v>266000</v>
      </c>
      <c r="BJ335">
        <v>266000</v>
      </c>
      <c r="BK335">
        <v>263000</v>
      </c>
      <c r="BL335">
        <v>265000</v>
      </c>
      <c r="BM335">
        <v>282000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>
      <c r="A336" t="str">
        <f>$A$140</f>
        <v xml:space="preserve">    Regions Financial Corp</v>
      </c>
      <c r="B336" t="str">
        <f>$B$140</f>
        <v>RF US Equity</v>
      </c>
      <c r="C336" t="str">
        <f>$C$140</f>
        <v>BS965</v>
      </c>
      <c r="D336" t="str">
        <f>$D$140</f>
        <v>BS_COMML_MTG_SERVICING_PORTFOLIO</v>
      </c>
      <c r="E336" t="str">
        <f>$E$140</f>
        <v>Dynamic</v>
      </c>
      <c r="F336" t="e">
        <f ca="1">_xll.BDH($B$140,$C$140,$B$183,$B$184,CONCATENATE("Per=",$B$181),"Dts=H","Dir=H",CONCATENATE("Points=",$B$182),"Sort=R","Days=A","Fill=B",CONCATENATE("FX=", $B$180) )</f>
        <v>#NAME?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>
      <c r="A337" t="str">
        <f>$A$141</f>
        <v xml:space="preserve">    Signature Bank/New York NY</v>
      </c>
      <c r="B337" t="str">
        <f>$B$141</f>
        <v>SBNY US Equity</v>
      </c>
      <c r="C337" t="str">
        <f>$C$141</f>
        <v>BS965</v>
      </c>
      <c r="D337" t="str">
        <f>$D$141</f>
        <v>BS_COMML_MTG_SERVICING_PORTFOLIO</v>
      </c>
      <c r="E337" t="str">
        <f>$E$141</f>
        <v>Dynamic</v>
      </c>
      <c r="F337" t="e">
        <f ca="1">_xll.BDH($B$141,$C$141,$B$183,$B$184,CONCATENATE("Per=",$B$181),"Dts=H","Dir=H",CONCATENATE("Points=",$B$182),"Sort=R","Days=A","Fill=B",CONCATENATE("FX=", $B$180) )</f>
        <v>#NAME?</v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>
      <c r="A338" t="str">
        <f>$A$142</f>
        <v xml:space="preserve">    SVB Financial Group</v>
      </c>
      <c r="B338" t="str">
        <f>$B$142</f>
        <v>SIVBQ US Equity</v>
      </c>
      <c r="C338" t="str">
        <f>$C$142</f>
        <v>BS965</v>
      </c>
      <c r="D338" t="str">
        <f>$D$142</f>
        <v>BS_COMML_MTG_SERVICING_PORTFOLIO</v>
      </c>
      <c r="E338" t="str">
        <f>$E$142</f>
        <v>Dynamic</v>
      </c>
      <c r="F338" t="e">
        <f ca="1">_xll.BDH($B$142,$C$142,$B$183,$B$184,CONCATENATE("Per=",$B$181),"Dts=H","Dir=H",CONCATENATE("Points=",$B$182),"Sort=R","Days=A","Fill=B",CONCATENATE("FX=", $B$180) )</f>
        <v>#NAME?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>
      <c r="A339" t="str">
        <f>$A$143</f>
        <v xml:space="preserve">    Truist Financial Corp</v>
      </c>
      <c r="B339" t="str">
        <f>$B$143</f>
        <v>TFC US Equity</v>
      </c>
      <c r="C339" t="str">
        <f>$C$143</f>
        <v>BS965</v>
      </c>
      <c r="D339" t="str">
        <f>$D$143</f>
        <v>BS_COMML_MTG_SERVICING_PORTFOLIO</v>
      </c>
      <c r="E339" t="str">
        <f>$E$143</f>
        <v>Dynamic</v>
      </c>
      <c r="F339" t="e">
        <f ca="1">_xll.BDH($B$143,$C$143,$B$183,$B$184,CONCATENATE("Per=",$B$181),"Dts=H","Dir=H",CONCATENATE("Points=",$B$182),"Sort=R","Days=A","Fill=B",CONCATENATE("FX=", $B$180) )</f>
        <v>#NAME?</v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>
      <c r="A340" t="str">
        <f>$A$144</f>
        <v xml:space="preserve">    US Bancorp</v>
      </c>
      <c r="B340" t="str">
        <f>$B$144</f>
        <v>USB US Equity</v>
      </c>
      <c r="C340" t="str">
        <f>$C$144</f>
        <v>BS965</v>
      </c>
      <c r="D340" t="str">
        <f>$D$144</f>
        <v>BS_COMML_MTG_SERVICING_PORTFOLIO</v>
      </c>
      <c r="E340" t="str">
        <f>$E$144</f>
        <v>Dynamic</v>
      </c>
      <c r="F340" t="e">
        <f ca="1">_xll.BDH($B$144,$C$144,$B$183,$B$184,CONCATENATE("Per=",$B$181),"Dts=H","Dir=H",CONCATENATE("Points=",$B$182),"Sort=R","Days=A","Fill=B",CONCATENATE("FX=", $B$180) )</f>
        <v>#NAME?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>
      <c r="A341" t="str">
        <f>$A$145</f>
        <v xml:space="preserve">    Wells Fargo &amp; Co</v>
      </c>
      <c r="B341" t="str">
        <f>$B$145</f>
        <v>WFC US Equity</v>
      </c>
      <c r="C341" t="str">
        <f>$C$145</f>
        <v>BS965</v>
      </c>
      <c r="D341" t="str">
        <f>$D$145</f>
        <v>BS_COMML_MTG_SERVICING_PORTFOLIO</v>
      </c>
      <c r="E341" t="str">
        <f>$E$145</f>
        <v>Dynamic</v>
      </c>
      <c r="F341" t="e">
        <f ca="1">_xll.BDH($B$145,$C$145,$B$183,$B$184,CONCATENATE("Per=",$B$181),"Dts=H","Dir=H",CONCATENATE("Points=",$B$182),"Sort=R","Days=A","Fill=B",CONCATENATE("FX=", $B$180),"cols=60;rows=1")</f>
        <v>#NAME?</v>
      </c>
      <c r="G341">
        <v>659000</v>
      </c>
      <c r="H341">
        <v>667000</v>
      </c>
      <c r="I341">
        <v>671000</v>
      </c>
      <c r="J341">
        <v>539000</v>
      </c>
      <c r="K341">
        <v>683000</v>
      </c>
      <c r="L341">
        <v>693000</v>
      </c>
      <c r="M341">
        <v>702000</v>
      </c>
      <c r="N341">
        <v>710000</v>
      </c>
      <c r="O341">
        <v>720000</v>
      </c>
      <c r="P341">
        <v>729000</v>
      </c>
      <c r="Q341">
        <v>730000</v>
      </c>
      <c r="R341">
        <v>727000</v>
      </c>
      <c r="S341">
        <v>711000</v>
      </c>
      <c r="T341">
        <v>707000</v>
      </c>
      <c r="U341">
        <v>703000</v>
      </c>
      <c r="V341">
        <v>706000</v>
      </c>
      <c r="W341">
        <v>702000</v>
      </c>
      <c r="X341">
        <v>703000</v>
      </c>
      <c r="Y341">
        <v>697000</v>
      </c>
      <c r="Z341">
        <v>699000</v>
      </c>
      <c r="AA341">
        <v>682000</v>
      </c>
      <c r="AB341">
        <v>680000</v>
      </c>
      <c r="AC341">
        <v>683000</v>
      </c>
      <c r="AD341">
        <v>673</v>
      </c>
      <c r="AE341">
        <v>659000</v>
      </c>
      <c r="AF341">
        <v>652000</v>
      </c>
      <c r="AG341">
        <v>645000</v>
      </c>
      <c r="AH341">
        <v>631000</v>
      </c>
      <c r="AI341">
        <v>616000</v>
      </c>
      <c r="AJ341">
        <v>613000</v>
      </c>
      <c r="AK341">
        <v>613000</v>
      </c>
      <c r="AL341">
        <v>619000</v>
      </c>
      <c r="AM341">
        <v>615000</v>
      </c>
      <c r="AN341">
        <v>614000</v>
      </c>
      <c r="AO341">
        <v>618000</v>
      </c>
      <c r="AP341">
        <v>607000</v>
      </c>
      <c r="AQ341">
        <v>598000</v>
      </c>
      <c r="AR341">
        <v>592000</v>
      </c>
      <c r="AS341">
        <v>580000</v>
      </c>
      <c r="AT341">
        <v>575000</v>
      </c>
      <c r="AU341">
        <v>554000</v>
      </c>
      <c r="AV341">
        <v>545000</v>
      </c>
      <c r="AW341">
        <v>539000</v>
      </c>
      <c r="AX341">
        <v>533000</v>
      </c>
      <c r="AY341">
        <v>533000</v>
      </c>
      <c r="AZ341">
        <v>525000</v>
      </c>
      <c r="BA341">
        <v>524000</v>
      </c>
      <c r="BB341">
        <v>527000</v>
      </c>
      <c r="BC341">
        <v>523000</v>
      </c>
      <c r="BD341">
        <v>525000</v>
      </c>
      <c r="BE341">
        <v>526000</v>
      </c>
      <c r="BF341">
        <v>518000</v>
      </c>
      <c r="BG341">
        <v>519000</v>
      </c>
      <c r="BH341">
        <v>517000</v>
      </c>
      <c r="BI341">
        <v>521000</v>
      </c>
      <c r="BJ341">
        <v>520000</v>
      </c>
      <c r="BK341">
        <v>548000</v>
      </c>
      <c r="BL341">
        <v>551000</v>
      </c>
      <c r="BM341">
        <v>564000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>
      <c r="A342" t="str">
        <f>$A$146</f>
        <v xml:space="preserve">    Western Alliance Bancorp</v>
      </c>
      <c r="B342" t="str">
        <f>$B$146</f>
        <v>WAL US Equity</v>
      </c>
      <c r="C342" t="str">
        <f>$C$146</f>
        <v>BS965</v>
      </c>
      <c r="D342" t="str">
        <f>$D$146</f>
        <v>BS_COMML_MTG_SERVICING_PORTFOLIO</v>
      </c>
      <c r="E342" t="str">
        <f>$E$146</f>
        <v>Dynamic</v>
      </c>
      <c r="F342" t="e">
        <f ca="1">_xll.BDH($B$146,$C$146,$B$183,$B$184,CONCATENATE("Per=",$B$181),"Dts=H","Dir=H",CONCATENATE("Points=",$B$182),"Sort=R","Days=A","Fill=B",CONCATENATE("FX=", $B$180) )</f>
        <v>#NAME?</v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>
      <c r="A343" t="str">
        <f>$A$147</f>
        <v xml:space="preserve">    Zions Bancorp NA</v>
      </c>
      <c r="B343" t="str">
        <f>$B$147</f>
        <v>ZION US Equity</v>
      </c>
      <c r="C343" t="str">
        <f>$C$147</f>
        <v>BS965</v>
      </c>
      <c r="D343" t="str">
        <f>$D$147</f>
        <v>BS_COMML_MTG_SERVICING_PORTFOLIO</v>
      </c>
      <c r="E343" t="str">
        <f>$E$147</f>
        <v>Dynamic</v>
      </c>
      <c r="F343" t="e">
        <f ca="1">_xll.BDH($B$147,$C$147,$B$183,$B$184,CONCATENATE("Per=",$B$181),"Dts=H","Dir=H",CONCATENATE("Points=",$B$182),"Sort=R","Days=A","Fill=B",CONCATENATE("FX=", $B$180) )</f>
        <v>#NAME?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>
      <c r="A344" t="str">
        <f>$A$149</f>
        <v xml:space="preserve">    Bank OZK</v>
      </c>
      <c r="B344" t="str">
        <f>$B$149</f>
        <v>OZK US Equity</v>
      </c>
      <c r="C344" t="str">
        <f>$C$149</f>
        <v>BS963</v>
      </c>
      <c r="D344" t="str">
        <f>$D$149</f>
        <v>BS_COMML_MTG_SERVICED_OTHERS</v>
      </c>
      <c r="E344" t="str">
        <f>$E$149</f>
        <v>Dynamic</v>
      </c>
      <c r="F344" t="e">
        <f ca="1">_xll.BDH($B$149,$C$149,$B$183,$B$184,CONCATENATE("Per=",$B$181),"Dts=H","Dir=H",CONCATENATE("Points=",$B$182),"Sort=R","Days=A","Fill=B",CONCATENATE("FX=", $B$180) )</f>
        <v>#NAME?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>
      <c r="A345" t="str">
        <f>$A$150</f>
        <v xml:space="preserve">    Citizens Financial Group Inc</v>
      </c>
      <c r="B345" t="str">
        <f>$B$150</f>
        <v>CFG US Equity</v>
      </c>
      <c r="C345" t="str">
        <f>$C$150</f>
        <v>BS963</v>
      </c>
      <c r="D345" t="str">
        <f>$D$150</f>
        <v>BS_COMML_MTG_SERVICED_OTHERS</v>
      </c>
      <c r="E345" t="str">
        <f>$E$150</f>
        <v>Dynamic</v>
      </c>
      <c r="F345" t="e">
        <f ca="1">_xll.BDH($B$150,$C$150,$B$183,$B$184,CONCATENATE("Per=",$B$181),"Dts=H","Dir=H",CONCATENATE("Points=",$B$182),"Sort=R","Days=A","Fill=B",CONCATENATE("FX=", $B$180) )</f>
        <v>#NAME?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>
      <c r="A346" t="str">
        <f>$A$151</f>
        <v xml:space="preserve">    Comerica Inc</v>
      </c>
      <c r="B346" t="str">
        <f>$B$151</f>
        <v>CMA US Equity</v>
      </c>
      <c r="C346" t="str">
        <f>$C$151</f>
        <v>BS963</v>
      </c>
      <c r="D346" t="str">
        <f>$D$151</f>
        <v>BS_COMML_MTG_SERVICED_OTHERS</v>
      </c>
      <c r="E346" t="str">
        <f>$E$151</f>
        <v>Dynamic</v>
      </c>
      <c r="F346" t="e">
        <f ca="1">_xll.BDH($B$151,$C$151,$B$183,$B$184,CONCATENATE("Per=",$B$181),"Dts=H","Dir=H",CONCATENATE("Points=",$B$182),"Sort=R","Days=A","Fill=B",CONCATENATE("FX=", $B$180) )</f>
        <v>#NAME?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>
      <c r="A347" t="str">
        <f>$A$152</f>
        <v xml:space="preserve">    East West Bancorp Inc</v>
      </c>
      <c r="B347" t="str">
        <f>$B$152</f>
        <v>EWBC US Equity</v>
      </c>
      <c r="C347" t="str">
        <f>$C$152</f>
        <v>BS963</v>
      </c>
      <c r="D347" t="str">
        <f>$D$152</f>
        <v>BS_COMML_MTG_SERVICED_OTHERS</v>
      </c>
      <c r="E347" t="str">
        <f>$E$152</f>
        <v>Dynamic</v>
      </c>
      <c r="F347" t="e">
        <f ca="1">_xll.BDH($B$152,$C$152,$B$183,$B$184,CONCATENATE("Per=",$B$181),"Dts=H","Dir=H",CONCATENATE("Points=",$B$182),"Sort=R","Days=A","Fill=B",CONCATENATE("FX=", $B$180) )</f>
        <v>#NAME?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>
      <c r="A348" t="str">
        <f>$A$153</f>
        <v xml:space="preserve">    First Horizon Corp</v>
      </c>
      <c r="B348" t="str">
        <f>$B$153</f>
        <v>FHN US Equity</v>
      </c>
      <c r="C348" t="str">
        <f>$C$153</f>
        <v>BS963</v>
      </c>
      <c r="D348" t="str">
        <f>$D$153</f>
        <v>BS_COMML_MTG_SERVICED_OTHERS</v>
      </c>
      <c r="E348" t="str">
        <f>$E$153</f>
        <v>Dynamic</v>
      </c>
      <c r="F348" t="e">
        <f ca="1">_xll.BDH($B$153,$C$153,$B$183,$B$184,CONCATENATE("Per=",$B$181),"Dts=H","Dir=H",CONCATENATE("Points=",$B$182),"Sort=R","Days=A","Fill=B",CONCATENATE("FX=", $B$180) )</f>
        <v>#NAME?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>
      <c r="A349" t="str">
        <f>$A$154</f>
        <v xml:space="preserve">    First Republic Bank/CA</v>
      </c>
      <c r="B349" t="str">
        <f>$B$154</f>
        <v>FRCB US Equity</v>
      </c>
      <c r="C349" t="str">
        <f>$C$154</f>
        <v>BS963</v>
      </c>
      <c r="D349" t="str">
        <f>$D$154</f>
        <v>BS_COMML_MTG_SERVICED_OTHERS</v>
      </c>
      <c r="E349" t="str">
        <f>$E$154</f>
        <v>Dynamic</v>
      </c>
      <c r="F349" t="e">
        <f ca="1">_xll.BDH($B$154,$C$154,$B$183,$B$184,CONCATENATE("Per=",$B$181),"Dts=H","Dir=H",CONCATENATE("Points=",$B$182),"Sort=R","Days=A","Fill=B",CONCATENATE("FX=", $B$180) )</f>
        <v>#NAME?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>
      <c r="A350" t="str">
        <f>$A$155</f>
        <v xml:space="preserve">    Fifth Third Bancorp</v>
      </c>
      <c r="B350" t="str">
        <f>$B$155</f>
        <v>FITB US Equity</v>
      </c>
      <c r="C350" t="str">
        <f>$C$155</f>
        <v>BS963</v>
      </c>
      <c r="D350" t="str">
        <f>$D$155</f>
        <v>BS_COMML_MTG_SERVICED_OTHERS</v>
      </c>
      <c r="E350" t="str">
        <f>$E$155</f>
        <v>Dynamic</v>
      </c>
      <c r="F350" t="e">
        <f ca="1">_xll.BDH($B$155,$C$155,$B$183,$B$184,CONCATENATE("Per=",$B$181),"Dts=H","Dir=H",CONCATENATE("Points=",$B$182),"Sort=R","Days=A","Fill=B",CONCATENATE("FX=", $B$180),"cols=60;rows=1")</f>
        <v>#NAME?</v>
      </c>
      <c r="G350">
        <v>515</v>
      </c>
      <c r="H350">
        <v>616</v>
      </c>
      <c r="I350">
        <v>632</v>
      </c>
      <c r="J350">
        <v>655</v>
      </c>
      <c r="K350">
        <v>711</v>
      </c>
      <c r="L350">
        <v>748</v>
      </c>
      <c r="M350">
        <v>696</v>
      </c>
      <c r="N350">
        <v>614</v>
      </c>
      <c r="O350">
        <v>630</v>
      </c>
      <c r="P350">
        <v>601</v>
      </c>
      <c r="Q350">
        <v>592</v>
      </c>
      <c r="R350">
        <v>610</v>
      </c>
      <c r="S350">
        <v>620</v>
      </c>
      <c r="T350">
        <v>623</v>
      </c>
      <c r="U350">
        <v>639</v>
      </c>
      <c r="V350">
        <v>653</v>
      </c>
      <c r="W350">
        <v>585</v>
      </c>
      <c r="X350">
        <v>592</v>
      </c>
      <c r="Y350">
        <v>545</v>
      </c>
      <c r="Z350">
        <v>454</v>
      </c>
      <c r="AA350">
        <v>446</v>
      </c>
      <c r="AB350">
        <v>438</v>
      </c>
      <c r="AC350">
        <v>467</v>
      </c>
      <c r="AD350">
        <v>292</v>
      </c>
      <c r="AE350">
        <v>294</v>
      </c>
      <c r="AF350">
        <v>263</v>
      </c>
      <c r="AG350">
        <v>238</v>
      </c>
      <c r="AH350">
        <v>240</v>
      </c>
      <c r="AI350">
        <v>228</v>
      </c>
      <c r="AJ350">
        <v>242</v>
      </c>
      <c r="AK350">
        <v>223</v>
      </c>
      <c r="AL350">
        <v>226</v>
      </c>
      <c r="AM350">
        <v>226</v>
      </c>
      <c r="AN350">
        <v>229</v>
      </c>
      <c r="AO350">
        <v>231</v>
      </c>
      <c r="AP350">
        <v>624</v>
      </c>
      <c r="AQ350">
        <v>146</v>
      </c>
      <c r="AR350">
        <v>174</v>
      </c>
      <c r="AS350">
        <v>279</v>
      </c>
      <c r="AT350">
        <v>1100</v>
      </c>
      <c r="AU350">
        <v>274</v>
      </c>
      <c r="AV350">
        <v>277</v>
      </c>
      <c r="AW350">
        <v>280</v>
      </c>
      <c r="AX350">
        <v>1185</v>
      </c>
      <c r="AY350">
        <v>284</v>
      </c>
      <c r="AZ350">
        <v>293</v>
      </c>
      <c r="BA350">
        <v>334</v>
      </c>
      <c r="BB350">
        <v>325</v>
      </c>
      <c r="BC350">
        <v>324</v>
      </c>
      <c r="BD350">
        <v>319</v>
      </c>
      <c r="BE350">
        <v>319</v>
      </c>
      <c r="BF350">
        <v>286</v>
      </c>
      <c r="BG350">
        <v>301</v>
      </c>
      <c r="BH350">
        <v>304</v>
      </c>
      <c r="BI350">
        <v>328</v>
      </c>
      <c r="BJ350">
        <v>337</v>
      </c>
      <c r="BK350">
        <v>335</v>
      </c>
      <c r="BL350">
        <v>315</v>
      </c>
      <c r="BM350">
        <v>291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>
      <c r="A351" t="str">
        <f>$A$156</f>
        <v xml:space="preserve">    First Citizens BancShares Inc/</v>
      </c>
      <c r="B351" t="str">
        <f>$B$156</f>
        <v>FCNCA US Equity</v>
      </c>
      <c r="C351" t="str">
        <f>$C$156</f>
        <v>BS963</v>
      </c>
      <c r="D351" t="str">
        <f>$D$156</f>
        <v>BS_COMML_MTG_SERVICED_OTHERS</v>
      </c>
      <c r="E351" t="str">
        <f>$E$156</f>
        <v>Dynamic</v>
      </c>
      <c r="F351" t="e">
        <f ca="1">_xll.BDH($B$156,$C$156,$B$183,$B$184,CONCATENATE("Per=",$B$181),"Dts=H","Dir=H",CONCATENATE("Points=",$B$182),"Sort=R","Days=A","Fill=B",CONCATENATE("FX=", $B$180) )</f>
        <v>#NAME?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>
      <c r="A352" t="str">
        <f>$A$157</f>
        <v xml:space="preserve">    Flagstar Financial Inc</v>
      </c>
      <c r="B352" t="str">
        <f>$B$157</f>
        <v>FLG US Equity</v>
      </c>
      <c r="C352" t="str">
        <f>$C$157</f>
        <v>BS963</v>
      </c>
      <c r="D352" t="str">
        <f>$D$157</f>
        <v>BS_COMML_MTG_SERVICED_OTHERS</v>
      </c>
      <c r="E352" t="str">
        <f>$E$157</f>
        <v>Dynamic</v>
      </c>
      <c r="F352" t="e">
        <f ca="1">_xll.BDH($B$157,$C$157,$B$183,$B$184,CONCATENATE("Per=",$B$181),"Dts=H","Dir=H",CONCATENATE("Points=",$B$182),"Sort=R","Days=A","Fill=B",CONCATENATE("FX=", $B$180) )</f>
        <v>#NAME?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>
      <c r="A353" t="str">
        <f>$A$158</f>
        <v xml:space="preserve">    Huntington Bancshares Inc/OH</v>
      </c>
      <c r="B353" t="str">
        <f>$B$158</f>
        <v>HBAN US Equity</v>
      </c>
      <c r="C353" t="str">
        <f>$C$158</f>
        <v>BS963</v>
      </c>
      <c r="D353" t="str">
        <f>$D$158</f>
        <v>BS_COMML_MTG_SERVICED_OTHERS</v>
      </c>
      <c r="E353" t="str">
        <f>$E$158</f>
        <v>Dynamic</v>
      </c>
      <c r="F353" t="e">
        <f ca="1">_xll.BDH($B$158,$C$158,$B$183,$B$184,CONCATENATE("Per=",$B$181),"Dts=H","Dir=H",CONCATENATE("Points=",$B$182),"Sort=R","Days=A","Fill=B",CONCATENATE("FX=", $B$180) )</f>
        <v>#NAME?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>
      <c r="A354" t="str">
        <f>$A$159</f>
        <v xml:space="preserve">    KeyCorp</v>
      </c>
      <c r="B354" t="str">
        <f>$B$159</f>
        <v>KEY US Equity</v>
      </c>
      <c r="C354" t="str">
        <f>$C$159</f>
        <v>BS963</v>
      </c>
      <c r="D354" t="str">
        <f>$D$159</f>
        <v>BS_COMML_MTG_SERVICED_OTHERS</v>
      </c>
      <c r="E354" t="str">
        <f>$E$159</f>
        <v>Dynamic</v>
      </c>
      <c r="F354" t="e">
        <f ca="1">_xll.BDH($B$159,$C$159,$B$183,$B$184,CONCATENATE("Per=",$B$181),"Dts=H","Dir=H",CONCATENATE("Points=",$B$182),"Sort=R","Days=A","Fill=B",CONCATENATE("FX=", $B$180) )</f>
        <v>#NAME?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>
      <c r="A355" t="str">
        <f>$A$160</f>
        <v xml:space="preserve">    M&amp;T Bank Corp</v>
      </c>
      <c r="B355" t="str">
        <f>$B$160</f>
        <v>MTB US Equity</v>
      </c>
      <c r="C355" t="str">
        <f>$C$160</f>
        <v>BS963</v>
      </c>
      <c r="D355" t="str">
        <f>$D$160</f>
        <v>BS_COMML_MTG_SERVICED_OTHERS</v>
      </c>
      <c r="E355" t="str">
        <f>$E$160</f>
        <v>Dynamic</v>
      </c>
      <c r="F355" t="e">
        <f ca="1">_xll.BDH($B$160,$C$160,$B$183,$B$184,CONCATENATE("Per=",$B$181),"Dts=H","Dir=H",CONCATENATE("Points=",$B$182),"Sort=R","Days=A","Fill=B",CONCATENATE("FX=", $B$180),"cols=60;rows=1")</f>
        <v>#NAME?</v>
      </c>
      <c r="G355">
        <v>29837</v>
      </c>
      <c r="H355">
        <v>29468</v>
      </c>
      <c r="I355">
        <v>28677</v>
      </c>
      <c r="J355">
        <v>28030</v>
      </c>
      <c r="K355">
        <v>27683.135999999999</v>
      </c>
      <c r="L355">
        <v>26900</v>
      </c>
      <c r="M355">
        <v>26200</v>
      </c>
      <c r="N355">
        <v>26000</v>
      </c>
      <c r="O355">
        <v>25100</v>
      </c>
      <c r="P355">
        <v>24400</v>
      </c>
      <c r="Q355">
        <v>22600</v>
      </c>
      <c r="R355">
        <v>23700</v>
      </c>
      <c r="S355">
        <v>73200</v>
      </c>
      <c r="T355">
        <v>72600</v>
      </c>
      <c r="U355">
        <v>23500</v>
      </c>
      <c r="V355">
        <v>22200</v>
      </c>
      <c r="W355">
        <v>336</v>
      </c>
      <c r="X355">
        <v>64700</v>
      </c>
      <c r="Y355">
        <v>61937</v>
      </c>
      <c r="Z355">
        <v>21000</v>
      </c>
      <c r="AA355">
        <v>65133</v>
      </c>
      <c r="AB355">
        <v>68700</v>
      </c>
      <c r="AC355">
        <v>54928</v>
      </c>
      <c r="AD355">
        <v>18200</v>
      </c>
      <c r="AE355">
        <v>60328</v>
      </c>
      <c r="AF355">
        <v>53528</v>
      </c>
      <c r="AG355">
        <v>55830</v>
      </c>
      <c r="AH355">
        <v>16200</v>
      </c>
      <c r="AI355">
        <v>59326</v>
      </c>
      <c r="AJ355">
        <v>49925</v>
      </c>
      <c r="AK355">
        <v>40823</v>
      </c>
      <c r="AL355">
        <v>11800</v>
      </c>
      <c r="AM355">
        <v>32125</v>
      </c>
      <c r="AN355">
        <v>34625</v>
      </c>
      <c r="AO355">
        <v>59300</v>
      </c>
      <c r="AP355">
        <v>11000</v>
      </c>
      <c r="AQ355">
        <v>40226</v>
      </c>
      <c r="AR355">
        <v>42330</v>
      </c>
      <c r="AS355">
        <v>40435</v>
      </c>
      <c r="AT355">
        <v>14800</v>
      </c>
      <c r="AU355">
        <v>14200</v>
      </c>
      <c r="AV355">
        <v>14100</v>
      </c>
      <c r="AW355">
        <v>46500</v>
      </c>
      <c r="AX355">
        <v>73500</v>
      </c>
      <c r="AY355">
        <v>14500</v>
      </c>
      <c r="AZ355">
        <v>14800</v>
      </c>
      <c r="BA355">
        <v>14600</v>
      </c>
      <c r="BB355">
        <v>14400</v>
      </c>
      <c r="BC355">
        <v>14100</v>
      </c>
      <c r="BD355">
        <v>14000</v>
      </c>
      <c r="BE355">
        <v>13900</v>
      </c>
      <c r="BF355">
        <v>13400</v>
      </c>
      <c r="BG355">
        <v>13500</v>
      </c>
      <c r="BH355">
        <v>13300</v>
      </c>
      <c r="BI355">
        <v>13400</v>
      </c>
      <c r="BJ355">
        <v>13300</v>
      </c>
      <c r="BK355">
        <v>13100</v>
      </c>
      <c r="BL355">
        <v>13200</v>
      </c>
      <c r="BM355">
        <v>13300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>
      <c r="A356" t="str">
        <f>$A$161</f>
        <v xml:space="preserve">    PNC Financial Services Group I</v>
      </c>
      <c r="B356" t="str">
        <f>$B$161</f>
        <v>PNC US Equity</v>
      </c>
      <c r="C356" t="str">
        <f>$C$161</f>
        <v>BS963</v>
      </c>
      <c r="D356" t="str">
        <f>$D$161</f>
        <v>BS_COMML_MTG_SERVICED_OTHERS</v>
      </c>
      <c r="E356" t="str">
        <f>$E$161</f>
        <v>Dynamic</v>
      </c>
      <c r="F356" t="e">
        <f ca="1">_xll.BDH($B$161,$C$161,$B$183,$B$184,CONCATENATE("Per=",$B$181),"Dts=H","Dir=H",CONCATENATE("Points=",$B$182),"Sort=R","Days=A","Fill=B",CONCATENATE("FX=", $B$180) )</f>
        <v>#NAME?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>
      <c r="A357" t="str">
        <f>$A$162</f>
        <v xml:space="preserve">    Regions Financial Corp</v>
      </c>
      <c r="B357" t="str">
        <f>$B$162</f>
        <v>RF US Equity</v>
      </c>
      <c r="C357" t="str">
        <f>$C$162</f>
        <v>BS963</v>
      </c>
      <c r="D357" t="str">
        <f>$D$162</f>
        <v>BS_COMML_MTG_SERVICED_OTHERS</v>
      </c>
      <c r="E357" t="str">
        <f>$E$162</f>
        <v>Dynamic</v>
      </c>
      <c r="F357" t="e">
        <f ca="1">_xll.BDH($B$162,$C$162,$B$183,$B$184,CONCATENATE("Per=",$B$181),"Dts=H","Dir=H",CONCATENATE("Points=",$B$182),"Sort=R","Days=A","Fill=B",CONCATENATE("FX=", $B$180) )</f>
        <v>#NAME?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>
      <c r="A358" t="str">
        <f>$A$163</f>
        <v xml:space="preserve">    Signature Bank/New York NY</v>
      </c>
      <c r="B358" t="str">
        <f>$B$163</f>
        <v>SBNY US Equity</v>
      </c>
      <c r="C358" t="str">
        <f>$C$163</f>
        <v>BS963</v>
      </c>
      <c r="D358" t="str">
        <f>$D$163</f>
        <v>BS_COMML_MTG_SERVICED_OTHERS</v>
      </c>
      <c r="E358" t="str">
        <f>$E$163</f>
        <v>Dynamic</v>
      </c>
      <c r="F358" t="e">
        <f ca="1">_xll.BDH($B$163,$C$163,$B$183,$B$184,CONCATENATE("Per=",$B$181),"Dts=H","Dir=H",CONCATENATE("Points=",$B$182),"Sort=R","Days=A","Fill=B",CONCATENATE("FX=", $B$180) )</f>
        <v>#NAME?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>
      <c r="A359" t="str">
        <f>$A$164</f>
        <v xml:space="preserve">    SVB Financial Group</v>
      </c>
      <c r="B359" t="str">
        <f>$B$164</f>
        <v>SIVBQ US Equity</v>
      </c>
      <c r="C359" t="str">
        <f>$C$164</f>
        <v>BS963</v>
      </c>
      <c r="D359" t="str">
        <f>$D$164</f>
        <v>BS_COMML_MTG_SERVICED_OTHERS</v>
      </c>
      <c r="E359" t="str">
        <f>$E$164</f>
        <v>Dynamic</v>
      </c>
      <c r="F359" t="e">
        <f ca="1">_xll.BDH($B$164,$C$164,$B$183,$B$184,CONCATENATE("Per=",$B$181),"Dts=H","Dir=H",CONCATENATE("Points=",$B$182),"Sort=R","Days=A","Fill=B",CONCATENATE("FX=", $B$180) )</f>
        <v>#NAME?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>
      <c r="A360" t="str">
        <f>$A$165</f>
        <v xml:space="preserve">    Truist Financial Corp</v>
      </c>
      <c r="B360" t="str">
        <f>$B$165</f>
        <v>TFC US Equity</v>
      </c>
      <c r="C360" t="str">
        <f>$C$165</f>
        <v>BS963</v>
      </c>
      <c r="D360" t="str">
        <f>$D$165</f>
        <v>BS_COMML_MTG_SERVICED_OTHERS</v>
      </c>
      <c r="E360" t="str">
        <f>$E$165</f>
        <v>Dynamic</v>
      </c>
      <c r="F360" t="e">
        <f ca="1">_xll.BDH($B$165,$C$165,$B$183,$B$184,CONCATENATE("Per=",$B$181),"Dts=H","Dir=H",CONCATENATE("Points=",$B$182),"Sort=R","Days=A","Fill=B",CONCATENATE("FX=", $B$180),"cols=60;rows=1")</f>
        <v>#NAME?</v>
      </c>
      <c r="G360">
        <v>28241</v>
      </c>
      <c r="H360">
        <v>28964</v>
      </c>
      <c r="I360">
        <v>29075</v>
      </c>
      <c r="J360">
        <v>31681</v>
      </c>
      <c r="K360">
        <v>34179</v>
      </c>
      <c r="L360">
        <v>35076</v>
      </c>
      <c r="M360">
        <v>36245</v>
      </c>
      <c r="N360">
        <v>36622</v>
      </c>
      <c r="O360">
        <v>36263</v>
      </c>
      <c r="P360">
        <v>36759</v>
      </c>
      <c r="Q360">
        <v>37397</v>
      </c>
      <c r="R360">
        <v>37960</v>
      </c>
      <c r="S360">
        <v>37437</v>
      </c>
      <c r="T360">
        <v>37626</v>
      </c>
      <c r="U360">
        <v>37089</v>
      </c>
      <c r="V360">
        <v>36670</v>
      </c>
      <c r="W360">
        <v>36410</v>
      </c>
      <c r="X360">
        <v>72522</v>
      </c>
      <c r="Y360">
        <v>71391</v>
      </c>
      <c r="Z360">
        <v>70404</v>
      </c>
      <c r="AA360">
        <v>27951</v>
      </c>
      <c r="AB360">
        <v>27683</v>
      </c>
      <c r="AC360">
        <v>27749</v>
      </c>
      <c r="AD360">
        <v>27761</v>
      </c>
      <c r="AE360">
        <v>27323</v>
      </c>
      <c r="AF360">
        <v>27586</v>
      </c>
      <c r="AG360">
        <v>27472</v>
      </c>
      <c r="AH360">
        <v>28441</v>
      </c>
      <c r="AI360">
        <v>28122</v>
      </c>
      <c r="AJ360">
        <v>28999</v>
      </c>
      <c r="AK360">
        <v>29289</v>
      </c>
      <c r="AL360">
        <v>29333</v>
      </c>
      <c r="AM360">
        <v>29146</v>
      </c>
      <c r="AN360">
        <v>28455</v>
      </c>
      <c r="AO360">
        <v>28245</v>
      </c>
      <c r="AP360">
        <v>28163</v>
      </c>
      <c r="AQ360">
        <v>27909</v>
      </c>
      <c r="AR360">
        <v>28039</v>
      </c>
      <c r="AS360">
        <v>27805</v>
      </c>
      <c r="AT360">
        <v>27599</v>
      </c>
      <c r="AU360">
        <v>27739</v>
      </c>
      <c r="AV360">
        <v>27697</v>
      </c>
      <c r="AW360">
        <v>27878</v>
      </c>
      <c r="AX360">
        <v>28095</v>
      </c>
      <c r="AY360">
        <v>28049</v>
      </c>
      <c r="AZ360">
        <v>28461</v>
      </c>
      <c r="BA360">
        <v>28910</v>
      </c>
      <c r="BB360">
        <v>29520</v>
      </c>
      <c r="BC360">
        <v>25982</v>
      </c>
      <c r="BD360">
        <v>32778</v>
      </c>
      <c r="BE360">
        <v>25800</v>
      </c>
      <c r="BF360">
        <v>25400</v>
      </c>
      <c r="BG360">
        <v>24985</v>
      </c>
      <c r="BH360">
        <v>24408</v>
      </c>
      <c r="BI360">
        <v>24371</v>
      </c>
      <c r="BJ360">
        <v>24100</v>
      </c>
      <c r="BK360">
        <v>23757</v>
      </c>
      <c r="BL360">
        <v>23815</v>
      </c>
      <c r="BM360">
        <v>24455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>
      <c r="A361" t="str">
        <f>$A$166</f>
        <v xml:space="preserve">    US Bancorp</v>
      </c>
      <c r="B361" t="str">
        <f>$B$166</f>
        <v>USB US Equity</v>
      </c>
      <c r="C361" t="str">
        <f>$C$166</f>
        <v>BS963</v>
      </c>
      <c r="D361" t="str">
        <f>$D$166</f>
        <v>BS_COMML_MTG_SERVICED_OTHERS</v>
      </c>
      <c r="E361" t="str">
        <f>$E$166</f>
        <v>Dynamic</v>
      </c>
      <c r="F361" t="e">
        <f ca="1">_xll.BDH($B$166,$C$166,$B$183,$B$184,CONCATENATE("Per=",$B$181),"Dts=H","Dir=H",CONCATENATE("Points=",$B$182),"Sort=R","Days=A","Fill=B",CONCATENATE("FX=", $B$180) )</f>
        <v>#NAME?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>
      <c r="A362" t="str">
        <f>$A$167</f>
        <v xml:space="preserve">    Wells Fargo &amp; Co</v>
      </c>
      <c r="B362" t="str">
        <f>$B$167</f>
        <v>WFC US Equity</v>
      </c>
      <c r="C362" t="str">
        <f>$C$167</f>
        <v>BS963</v>
      </c>
      <c r="D362" t="str">
        <f>$D$167</f>
        <v>BS_COMML_MTG_SERVICED_OTHERS</v>
      </c>
      <c r="E362" t="str">
        <f>$E$167</f>
        <v>Dynamic</v>
      </c>
      <c r="F362" t="e">
        <f ca="1">_xll.BDH($B$167,$C$167,$B$183,$B$184,CONCATENATE("Per=",$B$181),"Dts=H","Dir=H",CONCATENATE("Points=",$B$182),"Sort=R","Days=A","Fill=B",CONCATENATE("FX=", $B$180),"cols=60;rows=1")</f>
        <v>#NAME?</v>
      </c>
      <c r="G362">
        <v>539000</v>
      </c>
      <c r="H362">
        <v>543000</v>
      </c>
      <c r="I362">
        <v>545000</v>
      </c>
      <c r="J362">
        <v>548000</v>
      </c>
      <c r="K362">
        <v>554000</v>
      </c>
      <c r="L362">
        <v>562000</v>
      </c>
      <c r="M362">
        <v>571000</v>
      </c>
      <c r="N362">
        <v>577000</v>
      </c>
      <c r="O362">
        <v>586000</v>
      </c>
      <c r="P362">
        <v>595000</v>
      </c>
      <c r="Q362">
        <v>598000</v>
      </c>
      <c r="R362">
        <v>597000</v>
      </c>
      <c r="S362">
        <v>586000</v>
      </c>
      <c r="T362">
        <v>584000</v>
      </c>
      <c r="U362">
        <v>581000</v>
      </c>
      <c r="V362">
        <v>583000</v>
      </c>
      <c r="W362">
        <v>579000</v>
      </c>
      <c r="X362">
        <v>578000</v>
      </c>
      <c r="Y362">
        <v>573000</v>
      </c>
      <c r="Z362">
        <v>566000</v>
      </c>
      <c r="AA362">
        <v>560000</v>
      </c>
      <c r="AB362">
        <v>557000</v>
      </c>
      <c r="AC362">
        <v>552000</v>
      </c>
      <c r="AD362">
        <v>543</v>
      </c>
      <c r="AE362">
        <v>529000</v>
      </c>
      <c r="AF362">
        <v>518000</v>
      </c>
      <c r="AG362">
        <v>510000</v>
      </c>
      <c r="AH362">
        <v>495000</v>
      </c>
      <c r="AI362">
        <v>480000</v>
      </c>
      <c r="AJ362">
        <v>475000</v>
      </c>
      <c r="AK362">
        <v>474000</v>
      </c>
      <c r="AL362">
        <v>479000</v>
      </c>
      <c r="AM362">
        <v>477000</v>
      </c>
      <c r="AN362">
        <v>478000</v>
      </c>
      <c r="AO362">
        <v>485000</v>
      </c>
      <c r="AP362">
        <v>478000</v>
      </c>
      <c r="AQ362">
        <v>470000</v>
      </c>
      <c r="AR362">
        <v>465000</v>
      </c>
      <c r="AS362">
        <v>461000</v>
      </c>
      <c r="AT362">
        <v>456000</v>
      </c>
      <c r="AU362">
        <v>440000</v>
      </c>
      <c r="AV362">
        <v>429000</v>
      </c>
      <c r="AW362">
        <v>424000</v>
      </c>
      <c r="AX362">
        <v>419000</v>
      </c>
      <c r="AY362">
        <v>416000</v>
      </c>
      <c r="AZ362">
        <v>409000</v>
      </c>
      <c r="BA362">
        <v>404000</v>
      </c>
      <c r="BB362">
        <v>408000</v>
      </c>
      <c r="BC362">
        <v>405000</v>
      </c>
      <c r="BD362">
        <v>406000</v>
      </c>
      <c r="BE362">
        <v>407000</v>
      </c>
      <c r="BF362">
        <v>398000</v>
      </c>
      <c r="BG362">
        <v>401000</v>
      </c>
      <c r="BH362">
        <v>402000</v>
      </c>
      <c r="BI362">
        <v>406000</v>
      </c>
      <c r="BJ362">
        <v>408000</v>
      </c>
      <c r="BK362">
        <v>439000</v>
      </c>
      <c r="BL362">
        <v>441000</v>
      </c>
      <c r="BM362">
        <v>449000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>
      <c r="A363" t="str">
        <f>$A$168</f>
        <v xml:space="preserve">    Western Alliance Bancorp</v>
      </c>
      <c r="B363" t="str">
        <f>$B$168</f>
        <v>WAL US Equity</v>
      </c>
      <c r="C363" t="str">
        <f>$C$168</f>
        <v>BS963</v>
      </c>
      <c r="D363" t="str">
        <f>$D$168</f>
        <v>BS_COMML_MTG_SERVICED_OTHERS</v>
      </c>
      <c r="E363" t="str">
        <f>$E$168</f>
        <v>Dynamic</v>
      </c>
      <c r="F363" t="e">
        <f ca="1">_xll.BDH($B$168,$C$168,$B$183,$B$184,CONCATENATE("Per=",$B$181),"Dts=H","Dir=H",CONCATENATE("Points=",$B$182),"Sort=R","Days=A","Fill=B",CONCATENATE("FX=", $B$180) )</f>
        <v>#NAME?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>
      <c r="A364" t="str">
        <f>$A$169</f>
        <v xml:space="preserve">    Zions Bancorp NA</v>
      </c>
      <c r="B364" t="str">
        <f>$B$169</f>
        <v>ZION US Equity</v>
      </c>
      <c r="C364" t="str">
        <f>$C$169</f>
        <v>BS963</v>
      </c>
      <c r="D364" t="str">
        <f>$D$169</f>
        <v>BS_COMML_MTG_SERVICED_OTHERS</v>
      </c>
      <c r="E364" t="str">
        <f>$E$169</f>
        <v>Dynamic</v>
      </c>
      <c r="F364" t="e">
        <f ca="1">_xll.BDH($B$169,$C$169,$B$183,$B$184,CONCATENATE("Per=",$B$181),"Dts=H","Dir=H",CONCATENATE("Points=",$B$182),"Sort=R","Days=A","Fill=B",CONCATENATE("FX=", $B$180) )</f>
        <v>#NAME?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>
      <c r="A365" t="str">
        <f>""</f>
        <v/>
      </c>
      <c r="B365" t="str">
        <f>""</f>
        <v/>
      </c>
      <c r="C365" t="str">
        <f>""</f>
        <v/>
      </c>
      <c r="D365" t="str">
        <f>""</f>
        <v/>
      </c>
      <c r="E365" t="str">
        <f>""</f>
        <v/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>
      <c r="A366" t="str">
        <f>""</f>
        <v/>
      </c>
      <c r="B366" t="str">
        <f>""</f>
        <v/>
      </c>
      <c r="C366" t="str">
        <f>""</f>
        <v/>
      </c>
      <c r="D366" t="str">
        <f>""</f>
        <v/>
      </c>
      <c r="E366" t="str">
        <f>""</f>
        <v/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>
      <c r="A367" t="str">
        <f>""</f>
        <v/>
      </c>
      <c r="B367" t="str">
        <f>""</f>
        <v/>
      </c>
      <c r="C367" t="str">
        <f>""</f>
        <v/>
      </c>
      <c r="D367" t="str">
        <f>""</f>
        <v/>
      </c>
      <c r="E367" t="str">
        <f>""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>
      <c r="A368" t="str">
        <f>""</f>
        <v/>
      </c>
      <c r="B368" t="str">
        <f>""</f>
        <v/>
      </c>
      <c r="C368" t="str">
        <f>""</f>
        <v/>
      </c>
      <c r="D368" t="str">
        <f>""</f>
        <v/>
      </c>
      <c r="E368" t="str">
        <f>""</f>
        <v/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>
      <c r="A369" t="str">
        <f>""</f>
        <v/>
      </c>
      <c r="B369" t="str">
        <f>""</f>
        <v/>
      </c>
      <c r="C369" t="str">
        <f>""</f>
        <v/>
      </c>
      <c r="D369" t="str">
        <f>""</f>
        <v/>
      </c>
      <c r="E369" t="str">
        <f>""</f>
        <v/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>
      <c r="A370" t="str">
        <f>"~~~~~~~~~~~~~~~~~~~~~"</f>
        <v>~~~~~~~~~~~~~~~~~~~~~</v>
      </c>
      <c r="B370" t="str">
        <f>"~~~~~~~~~~~~~~~~~~~~~"</f>
        <v>~~~~~~~~~~~~~~~~~~~~~</v>
      </c>
      <c r="C370" t="str">
        <f>"~~~~~~~~~~~~~~~~~~~~~"</f>
        <v>~~~~~~~~~~~~~~~~~~~~~</v>
      </c>
      <c r="D370" t="str">
        <f>"~~~~~~~~~~~~~~~~~~~~~"</f>
        <v>~~~~~~~~~~~~~~~~~~~~~</v>
      </c>
      <c r="E370" t="str">
        <f>"~~~~~~~~~~~~~~~~~~~~~"</f>
        <v>~~~~~~~~~~~~~~~~~~~~~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>
      <c r="A371" t="str">
        <f>"Rows below for column date calculation"</f>
        <v>Rows below for column date calculation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>
      <c r="A372" t="str">
        <f>"Downloaded at"</f>
        <v>Downloaded at</v>
      </c>
      <c r="B372">
        <f>DATE(2025, 3,24)</f>
        <v>45740</v>
      </c>
      <c r="C372" t="str">
        <f>""</f>
        <v/>
      </c>
      <c r="D372" t="str">
        <f>""</f>
        <v/>
      </c>
      <c r="E372" t="str">
        <f>""</f>
        <v/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>
      <c r="A373" t="str">
        <f>"This is End Date"</f>
        <v>This is End Date</v>
      </c>
      <c r="B373">
        <f ca="1">$B$184</f>
        <v>45743</v>
      </c>
      <c r="C373" t="str">
        <f>""</f>
        <v/>
      </c>
      <c r="D373" t="str">
        <f>""</f>
        <v/>
      </c>
      <c r="E373" t="str">
        <f>""</f>
        <v/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>
      <c r="A374" t="str">
        <f>"Description"</f>
        <v>Description</v>
      </c>
      <c r="B374" t="str">
        <f>"Ticker"</f>
        <v>Ticker</v>
      </c>
      <c r="C374" t="str">
        <f>"Field ID"</f>
        <v>Field ID</v>
      </c>
      <c r="D374" t="str">
        <f>"Field Mnemonic"</f>
        <v>Field Mnemonic</v>
      </c>
      <c r="E374" t="str">
        <f>"Data State"</f>
        <v>Data State</v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>
      <c r="A375" t="str">
        <f>"Snapshot Date"</f>
        <v>Snapshot Date</v>
      </c>
      <c r="B375">
        <f>DATE(2025, 3,24)</f>
        <v>45740</v>
      </c>
      <c r="C375" t="str">
        <f>""</f>
        <v/>
      </c>
      <c r="D375" t="str">
        <f>""</f>
        <v/>
      </c>
      <c r="E375" t="str">
        <f>""</f>
        <v/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>
      <c r="A376" t="str">
        <f>"Snapshot header"</f>
        <v>Snapshot header</v>
      </c>
      <c r="B376">
        <f>2</f>
        <v>2</v>
      </c>
      <c r="C376" t="str">
        <f>"2024 Q4"</f>
        <v>2024 Q4</v>
      </c>
      <c r="D376" t="str">
        <f>"2024 Q3"</f>
        <v>2024 Q3</v>
      </c>
      <c r="E376" t="str">
        <f>"2024 Q2"</f>
        <v>2024 Q2</v>
      </c>
      <c r="F376" t="str">
        <f>"2024 Q1"</f>
        <v>2024 Q1</v>
      </c>
      <c r="G376" t="str">
        <f>"2023 Q4"</f>
        <v>2023 Q4</v>
      </c>
      <c r="H376" t="str">
        <f>"2023 Q3"</f>
        <v>2023 Q3</v>
      </c>
      <c r="I376" t="str">
        <f>"2023 Q2"</f>
        <v>2023 Q2</v>
      </c>
      <c r="J376" t="str">
        <f>"2023 Q1"</f>
        <v>2023 Q1</v>
      </c>
      <c r="K376" t="str">
        <f>"2022 Q4"</f>
        <v>2022 Q4</v>
      </c>
      <c r="L376" t="str">
        <f>"2022 Q3"</f>
        <v>2022 Q3</v>
      </c>
      <c r="M376" t="str">
        <f>"2022 Q2"</f>
        <v>2022 Q2</v>
      </c>
      <c r="N376" t="str">
        <f>"2022 Q1"</f>
        <v>2022 Q1</v>
      </c>
      <c r="O376" t="str">
        <f>"2021 Q4"</f>
        <v>2021 Q4</v>
      </c>
      <c r="P376" t="str">
        <f>"2021 Q3"</f>
        <v>2021 Q3</v>
      </c>
      <c r="Q376" t="str">
        <f>"2021 Q2"</f>
        <v>2021 Q2</v>
      </c>
      <c r="R376" t="str">
        <f>"2021 Q1"</f>
        <v>2021 Q1</v>
      </c>
      <c r="S376" t="str">
        <f>"2020 Q4"</f>
        <v>2020 Q4</v>
      </c>
      <c r="T376" t="str">
        <f>"2020 Q3"</f>
        <v>2020 Q3</v>
      </c>
      <c r="U376" t="str">
        <f>"2020 Q2"</f>
        <v>2020 Q2</v>
      </c>
      <c r="V376" t="str">
        <f>"2020 Q1"</f>
        <v>2020 Q1</v>
      </c>
      <c r="W376" t="str">
        <f>"2019 Q4"</f>
        <v>2019 Q4</v>
      </c>
      <c r="X376" t="str">
        <f>"2019 Q3"</f>
        <v>2019 Q3</v>
      </c>
      <c r="Y376" t="str">
        <f>"2019 Q2"</f>
        <v>2019 Q2</v>
      </c>
      <c r="Z376" t="str">
        <f>"2019 Q1"</f>
        <v>2019 Q1</v>
      </c>
      <c r="AA376" t="str">
        <f>"2018 Q4"</f>
        <v>2018 Q4</v>
      </c>
      <c r="AB376" t="str">
        <f>"2018 Q3"</f>
        <v>2018 Q3</v>
      </c>
      <c r="AC376" t="str">
        <f>"2018 Q2"</f>
        <v>2018 Q2</v>
      </c>
      <c r="AD376" t="str">
        <f>"2018 Q1"</f>
        <v>2018 Q1</v>
      </c>
      <c r="AE376" t="str">
        <f>"2017 Q4"</f>
        <v>2017 Q4</v>
      </c>
      <c r="AF376" t="str">
        <f>"2017 Q3"</f>
        <v>2017 Q3</v>
      </c>
      <c r="AG376" t="str">
        <f>"2017 Q2"</f>
        <v>2017 Q2</v>
      </c>
      <c r="AH376" t="str">
        <f>"2017 Q1"</f>
        <v>2017 Q1</v>
      </c>
      <c r="AI376" t="str">
        <f>"2016 Q4"</f>
        <v>2016 Q4</v>
      </c>
      <c r="AJ376" t="str">
        <f>"2016 Q3"</f>
        <v>2016 Q3</v>
      </c>
      <c r="AK376" t="str">
        <f>"2016 Q2"</f>
        <v>2016 Q2</v>
      </c>
      <c r="AL376" t="str">
        <f>"2016 Q1"</f>
        <v>2016 Q1</v>
      </c>
      <c r="AM376" t="str">
        <f>"2015 Q4"</f>
        <v>2015 Q4</v>
      </c>
      <c r="AN376" t="str">
        <f>"2015 Q3"</f>
        <v>2015 Q3</v>
      </c>
      <c r="AO376" t="str">
        <f>"2015 Q2"</f>
        <v>2015 Q2</v>
      </c>
      <c r="AP376" t="str">
        <f>"2015 Q1"</f>
        <v>2015 Q1</v>
      </c>
      <c r="AQ376" t="str">
        <f>"2014 Q4"</f>
        <v>2014 Q4</v>
      </c>
      <c r="AR376" t="str">
        <f>"2014 Q3"</f>
        <v>2014 Q3</v>
      </c>
      <c r="AS376" t="str">
        <f>"2014 Q2"</f>
        <v>2014 Q2</v>
      </c>
      <c r="AT376" t="str">
        <f>"2014 Q1"</f>
        <v>2014 Q1</v>
      </c>
      <c r="AU376" t="str">
        <f>"2013 Q4"</f>
        <v>2013 Q4</v>
      </c>
      <c r="AV376" t="str">
        <f>"2013 Q3"</f>
        <v>2013 Q3</v>
      </c>
      <c r="AW376" t="str">
        <f>"2013 Q2"</f>
        <v>2013 Q2</v>
      </c>
      <c r="AX376" t="str">
        <f>"2013 Q1"</f>
        <v>2013 Q1</v>
      </c>
      <c r="AY376" t="str">
        <f>"2012 Q4"</f>
        <v>2012 Q4</v>
      </c>
      <c r="AZ376" t="str">
        <f>"2012 Q3"</f>
        <v>2012 Q3</v>
      </c>
      <c r="BA376" t="str">
        <f>"2012 Q2"</f>
        <v>2012 Q2</v>
      </c>
      <c r="BB376" t="str">
        <f>"2012 Q1"</f>
        <v>2012 Q1</v>
      </c>
      <c r="BC376" t="str">
        <f>"2011 Q4"</f>
        <v>2011 Q4</v>
      </c>
      <c r="BD376" t="str">
        <f>"2011 Q3"</f>
        <v>2011 Q3</v>
      </c>
      <c r="BE376" t="str">
        <f>"2011 Q2"</f>
        <v>2011 Q2</v>
      </c>
      <c r="BF376" t="str">
        <f>"2011 Q1"</f>
        <v>2011 Q1</v>
      </c>
      <c r="BG376" t="str">
        <f>"2010 Q4"</f>
        <v>2010 Q4</v>
      </c>
      <c r="BH376" t="str">
        <f>"2010 Q3"</f>
        <v>2010 Q3</v>
      </c>
      <c r="BI376" t="str">
        <f>"2010 Q2"</f>
        <v>2010 Q2</v>
      </c>
      <c r="BJ376" t="str">
        <f>"2010 Q1"</f>
        <v>2010 Q1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>
      <c r="A377" t="str">
        <f>"BDH snapshot header0"</f>
        <v>BDH snapshot header0</v>
      </c>
      <c r="B377">
        <f>IF(OR(ISERROR($C$377),ISBLANK($C$377),ISNUMBER(SEARCH("N/A",$C$377) ),ISERROR($C$378),ISBLANK($C$378)),0,1)</f>
        <v>0</v>
      </c>
      <c r="C377" t="str">
        <f>_xll.BDH($B$187,$C$187,$B$183,$B$375,"PER=CQ","Dts=S","DtFmt=FI", "rows=2","Dir=H","Points=60","Sort=R","Days=A","Fill=B","FX=USD" )</f>
        <v>#N/A Invalid Parameter: Invalid override field id specified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>
      <c r="A378" t="str">
        <f>"BDH snapshot result0"</f>
        <v>BDH snapshot result0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>
      <c r="A379" t="str">
        <f>"BDH snapshot header1"</f>
        <v>BDH snapshot header1</v>
      </c>
      <c r="B379">
        <f>IF(OR(ISERROR($C$379),ISBLANK($C$379),ISNUMBER(SEARCH("N/A",$C$379) ),ISERROR($C$380),ISBLANK($C$380)),0,1)</f>
        <v>0</v>
      </c>
      <c r="C379" t="str">
        <f>_xll.BDH($B$188,$C$188,$B$183,$B$375,"PER=CQ","Dts=S","DtFmt=FI", "rows=2","Dir=H","Points=60","Sort=R","Days=A","Fill=B","FX=USD" )</f>
        <v>#N/A Invalid Parameter: Invalid override field id specified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>
      <c r="A380" t="str">
        <f>"BDH snapshot result1"</f>
        <v>BDH snapshot result1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>
      <c r="A381" t="str">
        <f>"BDH snapshot header2"</f>
        <v>BDH snapshot header2</v>
      </c>
      <c r="B381">
        <f>IF(OR(ISERROR($C$381),ISBLANK($C$381),ISNUMBER(SEARCH("N/A",$C$381) ),ISERROR($C$382),ISBLANK($C$382)),0,1)</f>
        <v>0</v>
      </c>
      <c r="C381" t="str">
        <f>_xll.BDH($B$189,$C$189,$B$183,$B$375,"PER=CQ","Dts=S","DtFmt=FI", "rows=2","Dir=H","Points=60","Sort=R","Days=A","Fill=B","FX=USD" )</f>
        <v>#N/A Invalid Parameter: Invalid override field id specified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>
      <c r="A382" t="str">
        <f>"BDH snapshot result2"</f>
        <v>BDH snapshot result2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>
      <c r="A383" t="str">
        <f>"BDH snapshot"</f>
        <v>BDH snapshot</v>
      </c>
      <c r="B383">
        <f>IF($B$377&gt;=1,$B$377,IF($B$379&gt;=1,$B$379,IF($B$381&gt;=1,$B$381,$B$376)))</f>
        <v>2</v>
      </c>
      <c r="C383" t="str">
        <f>IF($B$377&gt;=1,$C$377,IF($B$379&gt;=1,$C$379,IF($B$381&gt;=1,$C$381,$C$376)))</f>
        <v>2024 Q4</v>
      </c>
      <c r="D383" t="str">
        <f>IF($B$377&gt;=1,$D$377,IF($B$379&gt;=1,$D$379,IF($B$381&gt;=1,$D$381,$D$376)))</f>
        <v>2024 Q3</v>
      </c>
      <c r="E383" t="str">
        <f>IF($B$377&gt;=1,$E$377,IF($B$379&gt;=1,$E$379,IF($B$381&gt;=1,$E$381,$E$376)))</f>
        <v>2024 Q2</v>
      </c>
      <c r="F383" t="str">
        <f>IF($B$377&gt;=1,$F$377,IF($B$379&gt;=1,$F$379,IF($B$381&gt;=1,$F$381,$F$376)))</f>
        <v>2024 Q1</v>
      </c>
      <c r="G383" t="str">
        <f>IF($B$377&gt;=1,$G$377,IF($B$379&gt;=1,$G$379,IF($B$381&gt;=1,$G$381,$G$376)))</f>
        <v>2023 Q4</v>
      </c>
      <c r="H383" t="str">
        <f>IF($B$377&gt;=1,$H$377,IF($B$379&gt;=1,$H$379,IF($B$381&gt;=1,$H$381,$H$376)))</f>
        <v>2023 Q3</v>
      </c>
      <c r="I383" t="str">
        <f>IF($B$377&gt;=1,$I$377,IF($B$379&gt;=1,$I$379,IF($B$381&gt;=1,$I$381,$I$376)))</f>
        <v>2023 Q2</v>
      </c>
      <c r="J383" t="str">
        <f>IF($B$377&gt;=1,$J$377,IF($B$379&gt;=1,$J$379,IF($B$381&gt;=1,$J$381,$J$376)))</f>
        <v>2023 Q1</v>
      </c>
      <c r="K383" t="str">
        <f>IF($B$377&gt;=1,$K$377,IF($B$379&gt;=1,$K$379,IF($B$381&gt;=1,$K$381,$K$376)))</f>
        <v>2022 Q4</v>
      </c>
      <c r="L383" t="str">
        <f>IF($B$377&gt;=1,$L$377,IF($B$379&gt;=1,$L$379,IF($B$381&gt;=1,$L$381,$L$376)))</f>
        <v>2022 Q3</v>
      </c>
      <c r="M383" t="str">
        <f>IF($B$377&gt;=1,$M$377,IF($B$379&gt;=1,$M$379,IF($B$381&gt;=1,$M$381,$M$376)))</f>
        <v>2022 Q2</v>
      </c>
      <c r="N383" t="str">
        <f>IF($B$377&gt;=1,$N$377,IF($B$379&gt;=1,$N$379,IF($B$381&gt;=1,$N$381,$N$376)))</f>
        <v>2022 Q1</v>
      </c>
      <c r="O383" t="str">
        <f>IF($B$377&gt;=1,$O$377,IF($B$379&gt;=1,$O$379,IF($B$381&gt;=1,$O$381,$O$376)))</f>
        <v>2021 Q4</v>
      </c>
      <c r="P383" t="str">
        <f>IF($B$377&gt;=1,$P$377,IF($B$379&gt;=1,$P$379,IF($B$381&gt;=1,$P$381,$P$376)))</f>
        <v>2021 Q3</v>
      </c>
      <c r="Q383" t="str">
        <f>IF($B$377&gt;=1,$Q$377,IF($B$379&gt;=1,$Q$379,IF($B$381&gt;=1,$Q$381,$Q$376)))</f>
        <v>2021 Q2</v>
      </c>
      <c r="R383" t="str">
        <f>IF($B$377&gt;=1,$R$377,IF($B$379&gt;=1,$R$379,IF($B$381&gt;=1,$R$381,$R$376)))</f>
        <v>2021 Q1</v>
      </c>
      <c r="S383" t="str">
        <f>IF($B$377&gt;=1,$S$377,IF($B$379&gt;=1,$S$379,IF($B$381&gt;=1,$S$381,$S$376)))</f>
        <v>2020 Q4</v>
      </c>
      <c r="T383" t="str">
        <f>IF($B$377&gt;=1,$T$377,IF($B$379&gt;=1,$T$379,IF($B$381&gt;=1,$T$381,$T$376)))</f>
        <v>2020 Q3</v>
      </c>
      <c r="U383" t="str">
        <f>IF($B$377&gt;=1,$U$377,IF($B$379&gt;=1,$U$379,IF($B$381&gt;=1,$U$381,$U$376)))</f>
        <v>2020 Q2</v>
      </c>
      <c r="V383" t="str">
        <f>IF($B$377&gt;=1,$V$377,IF($B$379&gt;=1,$V$379,IF($B$381&gt;=1,$V$381,$V$376)))</f>
        <v>2020 Q1</v>
      </c>
      <c r="W383" t="str">
        <f>IF($B$377&gt;=1,$W$377,IF($B$379&gt;=1,$W$379,IF($B$381&gt;=1,$W$381,$W$376)))</f>
        <v>2019 Q4</v>
      </c>
      <c r="X383" t="str">
        <f>IF($B$377&gt;=1,$X$377,IF($B$379&gt;=1,$X$379,IF($B$381&gt;=1,$X$381,$X$376)))</f>
        <v>2019 Q3</v>
      </c>
      <c r="Y383" t="str">
        <f>IF($B$377&gt;=1,$Y$377,IF($B$379&gt;=1,$Y$379,IF($B$381&gt;=1,$Y$381,$Y$376)))</f>
        <v>2019 Q2</v>
      </c>
      <c r="Z383" t="str">
        <f>IF($B$377&gt;=1,$Z$377,IF($B$379&gt;=1,$Z$379,IF($B$381&gt;=1,$Z$381,$Z$376)))</f>
        <v>2019 Q1</v>
      </c>
      <c r="AA383" t="str">
        <f>IF($B$377&gt;=1,$AA$377,IF($B$379&gt;=1,$AA$379,IF($B$381&gt;=1,$AA$381,$AA$376)))</f>
        <v>2018 Q4</v>
      </c>
      <c r="AB383" t="str">
        <f>IF($B$377&gt;=1,$AB$377,IF($B$379&gt;=1,$AB$379,IF($B$381&gt;=1,$AB$381,$AB$376)))</f>
        <v>2018 Q3</v>
      </c>
      <c r="AC383" t="str">
        <f>IF($B$377&gt;=1,$AC$377,IF($B$379&gt;=1,$AC$379,IF($B$381&gt;=1,$AC$381,$AC$376)))</f>
        <v>2018 Q2</v>
      </c>
      <c r="AD383" t="str">
        <f>IF($B$377&gt;=1,$AD$377,IF($B$379&gt;=1,$AD$379,IF($B$381&gt;=1,$AD$381,$AD$376)))</f>
        <v>2018 Q1</v>
      </c>
      <c r="AE383" t="str">
        <f>IF($B$377&gt;=1,$AE$377,IF($B$379&gt;=1,$AE$379,IF($B$381&gt;=1,$AE$381,$AE$376)))</f>
        <v>2017 Q4</v>
      </c>
      <c r="AF383" t="str">
        <f>IF($B$377&gt;=1,$AF$377,IF($B$379&gt;=1,$AF$379,IF($B$381&gt;=1,$AF$381,$AF$376)))</f>
        <v>2017 Q3</v>
      </c>
      <c r="AG383" t="str">
        <f>IF($B$377&gt;=1,$AG$377,IF($B$379&gt;=1,$AG$379,IF($B$381&gt;=1,$AG$381,$AG$376)))</f>
        <v>2017 Q2</v>
      </c>
      <c r="AH383" t="str">
        <f>IF($B$377&gt;=1,$AH$377,IF($B$379&gt;=1,$AH$379,IF($B$381&gt;=1,$AH$381,$AH$376)))</f>
        <v>2017 Q1</v>
      </c>
      <c r="AI383" t="str">
        <f>IF($B$377&gt;=1,$AI$377,IF($B$379&gt;=1,$AI$379,IF($B$381&gt;=1,$AI$381,$AI$376)))</f>
        <v>2016 Q4</v>
      </c>
      <c r="AJ383" t="str">
        <f>IF($B$377&gt;=1,$AJ$377,IF($B$379&gt;=1,$AJ$379,IF($B$381&gt;=1,$AJ$381,$AJ$376)))</f>
        <v>2016 Q3</v>
      </c>
      <c r="AK383" t="str">
        <f>IF($B$377&gt;=1,$AK$377,IF($B$379&gt;=1,$AK$379,IF($B$381&gt;=1,$AK$381,$AK$376)))</f>
        <v>2016 Q2</v>
      </c>
      <c r="AL383" t="str">
        <f>IF($B$377&gt;=1,$AL$377,IF($B$379&gt;=1,$AL$379,IF($B$381&gt;=1,$AL$381,$AL$376)))</f>
        <v>2016 Q1</v>
      </c>
      <c r="AM383" t="str">
        <f>IF($B$377&gt;=1,$AM$377,IF($B$379&gt;=1,$AM$379,IF($B$381&gt;=1,$AM$381,$AM$376)))</f>
        <v>2015 Q4</v>
      </c>
      <c r="AN383" t="str">
        <f>IF($B$377&gt;=1,$AN$377,IF($B$379&gt;=1,$AN$379,IF($B$381&gt;=1,$AN$381,$AN$376)))</f>
        <v>2015 Q3</v>
      </c>
      <c r="AO383" t="str">
        <f>IF($B$377&gt;=1,$AO$377,IF($B$379&gt;=1,$AO$379,IF($B$381&gt;=1,$AO$381,$AO$376)))</f>
        <v>2015 Q2</v>
      </c>
      <c r="AP383" t="str">
        <f>IF($B$377&gt;=1,$AP$377,IF($B$379&gt;=1,$AP$379,IF($B$381&gt;=1,$AP$381,$AP$376)))</f>
        <v>2015 Q1</v>
      </c>
      <c r="AQ383" t="str">
        <f>IF($B$377&gt;=1,$AQ$377,IF($B$379&gt;=1,$AQ$379,IF($B$381&gt;=1,$AQ$381,$AQ$376)))</f>
        <v>2014 Q4</v>
      </c>
      <c r="AR383" t="str">
        <f>IF($B$377&gt;=1,$AR$377,IF($B$379&gt;=1,$AR$379,IF($B$381&gt;=1,$AR$381,$AR$376)))</f>
        <v>2014 Q3</v>
      </c>
      <c r="AS383" t="str">
        <f>IF($B$377&gt;=1,$AS$377,IF($B$379&gt;=1,$AS$379,IF($B$381&gt;=1,$AS$381,$AS$376)))</f>
        <v>2014 Q2</v>
      </c>
      <c r="AT383" t="str">
        <f>IF($B$377&gt;=1,$AT$377,IF($B$379&gt;=1,$AT$379,IF($B$381&gt;=1,$AT$381,$AT$376)))</f>
        <v>2014 Q1</v>
      </c>
      <c r="AU383" t="str">
        <f>IF($B$377&gt;=1,$AU$377,IF($B$379&gt;=1,$AU$379,IF($B$381&gt;=1,$AU$381,$AU$376)))</f>
        <v>2013 Q4</v>
      </c>
      <c r="AV383" t="str">
        <f>IF($B$377&gt;=1,$AV$377,IF($B$379&gt;=1,$AV$379,IF($B$381&gt;=1,$AV$381,$AV$376)))</f>
        <v>2013 Q3</v>
      </c>
      <c r="AW383" t="str">
        <f>IF($B$377&gt;=1,$AW$377,IF($B$379&gt;=1,$AW$379,IF($B$381&gt;=1,$AW$381,$AW$376)))</f>
        <v>2013 Q2</v>
      </c>
      <c r="AX383" t="str">
        <f>IF($B$377&gt;=1,$AX$377,IF($B$379&gt;=1,$AX$379,IF($B$381&gt;=1,$AX$381,$AX$376)))</f>
        <v>2013 Q1</v>
      </c>
      <c r="AY383" t="str">
        <f>IF($B$377&gt;=1,$AY$377,IF($B$379&gt;=1,$AY$379,IF($B$381&gt;=1,$AY$381,$AY$376)))</f>
        <v>2012 Q4</v>
      </c>
      <c r="AZ383" t="str">
        <f>IF($B$377&gt;=1,$AZ$377,IF($B$379&gt;=1,$AZ$379,IF($B$381&gt;=1,$AZ$381,$AZ$376)))</f>
        <v>2012 Q3</v>
      </c>
      <c r="BA383" t="str">
        <f>IF($B$377&gt;=1,$BA$377,IF($B$379&gt;=1,$BA$379,IF($B$381&gt;=1,$BA$381,$BA$376)))</f>
        <v>2012 Q2</v>
      </c>
      <c r="BB383" t="str">
        <f>IF($B$377&gt;=1,$BB$377,IF($B$379&gt;=1,$BB$379,IF($B$381&gt;=1,$BB$381,$BB$376)))</f>
        <v>2012 Q1</v>
      </c>
      <c r="BC383" t="str">
        <f>IF($B$377&gt;=1,$BC$377,IF($B$379&gt;=1,$BC$379,IF($B$381&gt;=1,$BC$381,$BC$376)))</f>
        <v>2011 Q4</v>
      </c>
      <c r="BD383" t="str">
        <f>IF($B$377&gt;=1,$BD$377,IF($B$379&gt;=1,$BD$379,IF($B$381&gt;=1,$BD$381,$BD$376)))</f>
        <v>2011 Q3</v>
      </c>
      <c r="BE383" t="str">
        <f>IF($B$377&gt;=1,$BE$377,IF($B$379&gt;=1,$BE$379,IF($B$381&gt;=1,$BE$381,$BE$376)))</f>
        <v>2011 Q2</v>
      </c>
      <c r="BF383" t="str">
        <f>IF($B$377&gt;=1,$BF$377,IF($B$379&gt;=1,$BF$379,IF($B$381&gt;=1,$BF$381,$BF$376)))</f>
        <v>2011 Q1</v>
      </c>
      <c r="BG383" t="str">
        <f>IF($B$377&gt;=1,$BG$377,IF($B$379&gt;=1,$BG$379,IF($B$381&gt;=1,$BG$381,$BG$376)))</f>
        <v>2010 Q4</v>
      </c>
      <c r="BH383" t="str">
        <f>IF($B$377&gt;=1,$BH$377,IF($B$379&gt;=1,$BH$379,IF($B$381&gt;=1,$BH$381,$BH$376)))</f>
        <v>2010 Q3</v>
      </c>
      <c r="BI383" t="str">
        <f>IF($B$377&gt;=1,$BI$377,IF($B$379&gt;=1,$BI$379,IF($B$381&gt;=1,$BI$381,$BI$376)))</f>
        <v>2010 Q2</v>
      </c>
      <c r="BJ383" t="str">
        <f>IF($B$377&gt;=1,$BJ$377,IF($B$379&gt;=1,$BJ$379,IF($B$381&gt;=1,$BJ$381,$BJ$376)))</f>
        <v>2010 Q1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>
      <c r="A384" t="str">
        <f>"BDH snapshot title"</f>
        <v>BDH snapshot title</v>
      </c>
      <c r="B384">
        <f>$B$383</f>
        <v>2</v>
      </c>
      <c r="C384" t="str">
        <f>IF(LEN($C$383)&lt;&gt;8,$C$383,RIGHT($C$383,4)&amp;" "&amp;MID($C$383,3,1)&amp;LEFT($C$383,1))</f>
        <v>2024 Q4</v>
      </c>
      <c r="D384" t="str">
        <f>IF(LEN($D$383)&lt;&gt;8,$D$383,RIGHT($D$383,4)&amp;" "&amp;MID($D$383,3,1)&amp;LEFT($D$383,1))</f>
        <v>2024 Q3</v>
      </c>
      <c r="E384" t="str">
        <f>IF(LEN($E$383)&lt;&gt;8,$E$383,RIGHT($E$383,4)&amp;" "&amp;MID($E$383,3,1)&amp;LEFT($E$383,1))</f>
        <v>2024 Q2</v>
      </c>
      <c r="F384" t="str">
        <f>IF(LEN($F$383)&lt;&gt;8,$F$383,RIGHT($F$383,4)&amp;" "&amp;MID($F$383,3,1)&amp;LEFT($F$383,1))</f>
        <v>2024 Q1</v>
      </c>
      <c r="G384" t="str">
        <f>IF(LEN($G$383)&lt;&gt;8,$G$383,RIGHT($G$383,4)&amp;" "&amp;MID($G$383,3,1)&amp;LEFT($G$383,1))</f>
        <v>2023 Q4</v>
      </c>
      <c r="H384" t="str">
        <f>IF(LEN($H$383)&lt;&gt;8,$H$383,RIGHT($H$383,4)&amp;" "&amp;MID($H$383,3,1)&amp;LEFT($H$383,1))</f>
        <v>2023 Q3</v>
      </c>
      <c r="I384" t="str">
        <f>IF(LEN($I$383)&lt;&gt;8,$I$383,RIGHT($I$383,4)&amp;" "&amp;MID($I$383,3,1)&amp;LEFT($I$383,1))</f>
        <v>2023 Q2</v>
      </c>
      <c r="J384" t="str">
        <f>IF(LEN($J$383)&lt;&gt;8,$J$383,RIGHT($J$383,4)&amp;" "&amp;MID($J$383,3,1)&amp;LEFT($J$383,1))</f>
        <v>2023 Q1</v>
      </c>
      <c r="K384" t="str">
        <f>IF(LEN($K$383)&lt;&gt;8,$K$383,RIGHT($K$383,4)&amp;" "&amp;MID($K$383,3,1)&amp;LEFT($K$383,1))</f>
        <v>2022 Q4</v>
      </c>
      <c r="L384" t="str">
        <f>IF(LEN($L$383)&lt;&gt;8,$L$383,RIGHT($L$383,4)&amp;" "&amp;MID($L$383,3,1)&amp;LEFT($L$383,1))</f>
        <v>2022 Q3</v>
      </c>
      <c r="M384" t="str">
        <f>IF(LEN($M$383)&lt;&gt;8,$M$383,RIGHT($M$383,4)&amp;" "&amp;MID($M$383,3,1)&amp;LEFT($M$383,1))</f>
        <v>2022 Q2</v>
      </c>
      <c r="N384" t="str">
        <f>IF(LEN($N$383)&lt;&gt;8,$N$383,RIGHT($N$383,4)&amp;" "&amp;MID($N$383,3,1)&amp;LEFT($N$383,1))</f>
        <v>2022 Q1</v>
      </c>
      <c r="O384" t="str">
        <f>IF(LEN($O$383)&lt;&gt;8,$O$383,RIGHT($O$383,4)&amp;" "&amp;MID($O$383,3,1)&amp;LEFT($O$383,1))</f>
        <v>2021 Q4</v>
      </c>
      <c r="P384" t="str">
        <f>IF(LEN($P$383)&lt;&gt;8,$P$383,RIGHT($P$383,4)&amp;" "&amp;MID($P$383,3,1)&amp;LEFT($P$383,1))</f>
        <v>2021 Q3</v>
      </c>
      <c r="Q384" t="str">
        <f>IF(LEN($Q$383)&lt;&gt;8,$Q$383,RIGHT($Q$383,4)&amp;" "&amp;MID($Q$383,3,1)&amp;LEFT($Q$383,1))</f>
        <v>2021 Q2</v>
      </c>
      <c r="R384" t="str">
        <f>IF(LEN($R$383)&lt;&gt;8,$R$383,RIGHT($R$383,4)&amp;" "&amp;MID($R$383,3,1)&amp;LEFT($R$383,1))</f>
        <v>2021 Q1</v>
      </c>
      <c r="S384" t="str">
        <f>IF(LEN($S$383)&lt;&gt;8,$S$383,RIGHT($S$383,4)&amp;" "&amp;MID($S$383,3,1)&amp;LEFT($S$383,1))</f>
        <v>2020 Q4</v>
      </c>
      <c r="T384" t="str">
        <f>IF(LEN($T$383)&lt;&gt;8,$T$383,RIGHT($T$383,4)&amp;" "&amp;MID($T$383,3,1)&amp;LEFT($T$383,1))</f>
        <v>2020 Q3</v>
      </c>
      <c r="U384" t="str">
        <f>IF(LEN($U$383)&lt;&gt;8,$U$383,RIGHT($U$383,4)&amp;" "&amp;MID($U$383,3,1)&amp;LEFT($U$383,1))</f>
        <v>2020 Q2</v>
      </c>
      <c r="V384" t="str">
        <f>IF(LEN($V$383)&lt;&gt;8,$V$383,RIGHT($V$383,4)&amp;" "&amp;MID($V$383,3,1)&amp;LEFT($V$383,1))</f>
        <v>2020 Q1</v>
      </c>
      <c r="W384" t="str">
        <f>IF(LEN($W$383)&lt;&gt;8,$W$383,RIGHT($W$383,4)&amp;" "&amp;MID($W$383,3,1)&amp;LEFT($W$383,1))</f>
        <v>2019 Q4</v>
      </c>
      <c r="X384" t="str">
        <f>IF(LEN($X$383)&lt;&gt;8,$X$383,RIGHT($X$383,4)&amp;" "&amp;MID($X$383,3,1)&amp;LEFT($X$383,1))</f>
        <v>2019 Q3</v>
      </c>
      <c r="Y384" t="str">
        <f>IF(LEN($Y$383)&lt;&gt;8,$Y$383,RIGHT($Y$383,4)&amp;" "&amp;MID($Y$383,3,1)&amp;LEFT($Y$383,1))</f>
        <v>2019 Q2</v>
      </c>
      <c r="Z384" t="str">
        <f>IF(LEN($Z$383)&lt;&gt;8,$Z$383,RIGHT($Z$383,4)&amp;" "&amp;MID($Z$383,3,1)&amp;LEFT($Z$383,1))</f>
        <v>2019 Q1</v>
      </c>
      <c r="AA384" t="str">
        <f>IF(LEN($AA$383)&lt;&gt;8,$AA$383,RIGHT($AA$383,4)&amp;" "&amp;MID($AA$383,3,1)&amp;LEFT($AA$383,1))</f>
        <v>2018 Q4</v>
      </c>
      <c r="AB384" t="str">
        <f>IF(LEN($AB$383)&lt;&gt;8,$AB$383,RIGHT($AB$383,4)&amp;" "&amp;MID($AB$383,3,1)&amp;LEFT($AB$383,1))</f>
        <v>2018 Q3</v>
      </c>
      <c r="AC384" t="str">
        <f>IF(LEN($AC$383)&lt;&gt;8,$AC$383,RIGHT($AC$383,4)&amp;" "&amp;MID($AC$383,3,1)&amp;LEFT($AC$383,1))</f>
        <v>2018 Q2</v>
      </c>
      <c r="AD384" t="str">
        <f>IF(LEN($AD$383)&lt;&gt;8,$AD$383,RIGHT($AD$383,4)&amp;" "&amp;MID($AD$383,3,1)&amp;LEFT($AD$383,1))</f>
        <v>2018 Q1</v>
      </c>
      <c r="AE384" t="str">
        <f>IF(LEN($AE$383)&lt;&gt;8,$AE$383,RIGHT($AE$383,4)&amp;" "&amp;MID($AE$383,3,1)&amp;LEFT($AE$383,1))</f>
        <v>2017 Q4</v>
      </c>
      <c r="AF384" t="str">
        <f>IF(LEN($AF$383)&lt;&gt;8,$AF$383,RIGHT($AF$383,4)&amp;" "&amp;MID($AF$383,3,1)&amp;LEFT($AF$383,1))</f>
        <v>2017 Q3</v>
      </c>
      <c r="AG384" t="str">
        <f>IF(LEN($AG$383)&lt;&gt;8,$AG$383,RIGHT($AG$383,4)&amp;" "&amp;MID($AG$383,3,1)&amp;LEFT($AG$383,1))</f>
        <v>2017 Q2</v>
      </c>
      <c r="AH384" t="str">
        <f>IF(LEN($AH$383)&lt;&gt;8,$AH$383,RIGHT($AH$383,4)&amp;" "&amp;MID($AH$383,3,1)&amp;LEFT($AH$383,1))</f>
        <v>2017 Q1</v>
      </c>
      <c r="AI384" t="str">
        <f>IF(LEN($AI$383)&lt;&gt;8,$AI$383,RIGHT($AI$383,4)&amp;" "&amp;MID($AI$383,3,1)&amp;LEFT($AI$383,1))</f>
        <v>2016 Q4</v>
      </c>
      <c r="AJ384" t="str">
        <f>IF(LEN($AJ$383)&lt;&gt;8,$AJ$383,RIGHT($AJ$383,4)&amp;" "&amp;MID($AJ$383,3,1)&amp;LEFT($AJ$383,1))</f>
        <v>2016 Q3</v>
      </c>
      <c r="AK384" t="str">
        <f>IF(LEN($AK$383)&lt;&gt;8,$AK$383,RIGHT($AK$383,4)&amp;" "&amp;MID($AK$383,3,1)&amp;LEFT($AK$383,1))</f>
        <v>2016 Q2</v>
      </c>
      <c r="AL384" t="str">
        <f>IF(LEN($AL$383)&lt;&gt;8,$AL$383,RIGHT($AL$383,4)&amp;" "&amp;MID($AL$383,3,1)&amp;LEFT($AL$383,1))</f>
        <v>2016 Q1</v>
      </c>
      <c r="AM384" t="str">
        <f>IF(LEN($AM$383)&lt;&gt;8,$AM$383,RIGHT($AM$383,4)&amp;" "&amp;MID($AM$383,3,1)&amp;LEFT($AM$383,1))</f>
        <v>2015 Q4</v>
      </c>
      <c r="AN384" t="str">
        <f>IF(LEN($AN$383)&lt;&gt;8,$AN$383,RIGHT($AN$383,4)&amp;" "&amp;MID($AN$383,3,1)&amp;LEFT($AN$383,1))</f>
        <v>2015 Q3</v>
      </c>
      <c r="AO384" t="str">
        <f>IF(LEN($AO$383)&lt;&gt;8,$AO$383,RIGHT($AO$383,4)&amp;" "&amp;MID($AO$383,3,1)&amp;LEFT($AO$383,1))</f>
        <v>2015 Q2</v>
      </c>
      <c r="AP384" t="str">
        <f>IF(LEN($AP$383)&lt;&gt;8,$AP$383,RIGHT($AP$383,4)&amp;" "&amp;MID($AP$383,3,1)&amp;LEFT($AP$383,1))</f>
        <v>2015 Q1</v>
      </c>
      <c r="AQ384" t="str">
        <f>IF(LEN($AQ$383)&lt;&gt;8,$AQ$383,RIGHT($AQ$383,4)&amp;" "&amp;MID($AQ$383,3,1)&amp;LEFT($AQ$383,1))</f>
        <v>2014 Q4</v>
      </c>
      <c r="AR384" t="str">
        <f>IF(LEN($AR$383)&lt;&gt;8,$AR$383,RIGHT($AR$383,4)&amp;" "&amp;MID($AR$383,3,1)&amp;LEFT($AR$383,1))</f>
        <v>2014 Q3</v>
      </c>
      <c r="AS384" t="str">
        <f>IF(LEN($AS$383)&lt;&gt;8,$AS$383,RIGHT($AS$383,4)&amp;" "&amp;MID($AS$383,3,1)&amp;LEFT($AS$383,1))</f>
        <v>2014 Q2</v>
      </c>
      <c r="AT384" t="str">
        <f>IF(LEN($AT$383)&lt;&gt;8,$AT$383,RIGHT($AT$383,4)&amp;" "&amp;MID($AT$383,3,1)&amp;LEFT($AT$383,1))</f>
        <v>2014 Q1</v>
      </c>
      <c r="AU384" t="str">
        <f>IF(LEN($AU$383)&lt;&gt;8,$AU$383,RIGHT($AU$383,4)&amp;" "&amp;MID($AU$383,3,1)&amp;LEFT($AU$383,1))</f>
        <v>2013 Q4</v>
      </c>
      <c r="AV384" t="str">
        <f>IF(LEN($AV$383)&lt;&gt;8,$AV$383,RIGHT($AV$383,4)&amp;" "&amp;MID($AV$383,3,1)&amp;LEFT($AV$383,1))</f>
        <v>2013 Q3</v>
      </c>
      <c r="AW384" t="str">
        <f>IF(LEN($AW$383)&lt;&gt;8,$AW$383,RIGHT($AW$383,4)&amp;" "&amp;MID($AW$383,3,1)&amp;LEFT($AW$383,1))</f>
        <v>2013 Q2</v>
      </c>
      <c r="AX384" t="str">
        <f>IF(LEN($AX$383)&lt;&gt;8,$AX$383,RIGHT($AX$383,4)&amp;" "&amp;MID($AX$383,3,1)&amp;LEFT($AX$383,1))</f>
        <v>2013 Q1</v>
      </c>
      <c r="AY384" t="str">
        <f>IF(LEN($AY$383)&lt;&gt;8,$AY$383,RIGHT($AY$383,4)&amp;" "&amp;MID($AY$383,3,1)&amp;LEFT($AY$383,1))</f>
        <v>2012 Q4</v>
      </c>
      <c r="AZ384" t="str">
        <f>IF(LEN($AZ$383)&lt;&gt;8,$AZ$383,RIGHT($AZ$383,4)&amp;" "&amp;MID($AZ$383,3,1)&amp;LEFT($AZ$383,1))</f>
        <v>2012 Q3</v>
      </c>
      <c r="BA384" t="str">
        <f>IF(LEN($BA$383)&lt;&gt;8,$BA$383,RIGHT($BA$383,4)&amp;" "&amp;MID($BA$383,3,1)&amp;LEFT($BA$383,1))</f>
        <v>2012 Q2</v>
      </c>
      <c r="BB384" t="str">
        <f>IF(LEN($BB$383)&lt;&gt;8,$BB$383,RIGHT($BB$383,4)&amp;" "&amp;MID($BB$383,3,1)&amp;LEFT($BB$383,1))</f>
        <v>2012 Q1</v>
      </c>
      <c r="BC384" t="str">
        <f>IF(LEN($BC$383)&lt;&gt;8,$BC$383,RIGHT($BC$383,4)&amp;" "&amp;MID($BC$383,3,1)&amp;LEFT($BC$383,1))</f>
        <v>2011 Q4</v>
      </c>
      <c r="BD384" t="str">
        <f>IF(LEN($BD$383)&lt;&gt;8,$BD$383,RIGHT($BD$383,4)&amp;" "&amp;MID($BD$383,3,1)&amp;LEFT($BD$383,1))</f>
        <v>2011 Q3</v>
      </c>
      <c r="BE384" t="str">
        <f>IF(LEN($BE$383)&lt;&gt;8,$BE$383,RIGHT($BE$383,4)&amp;" "&amp;MID($BE$383,3,1)&amp;LEFT($BE$383,1))</f>
        <v>2011 Q2</v>
      </c>
      <c r="BF384" t="str">
        <f>IF(LEN($BF$383)&lt;&gt;8,$BF$383,RIGHT($BF$383,4)&amp;" "&amp;MID($BF$383,3,1)&amp;LEFT($BF$383,1))</f>
        <v>2011 Q1</v>
      </c>
      <c r="BG384" t="str">
        <f>IF(LEN($BG$383)&lt;&gt;8,$BG$383,RIGHT($BG$383,4)&amp;" "&amp;MID($BG$383,3,1)&amp;LEFT($BG$383,1))</f>
        <v>2010 Q4</v>
      </c>
      <c r="BH384" t="str">
        <f>IF(LEN($BH$383)&lt;&gt;8,$BH$383,RIGHT($BH$383,4)&amp;" "&amp;MID($BH$383,3,1)&amp;LEFT($BH$383,1))</f>
        <v>2010 Q3</v>
      </c>
      <c r="BI384" t="str">
        <f>IF(LEN($BI$383)&lt;&gt;8,$BI$383,RIGHT($BI$383,4)&amp;" "&amp;MID($BI$383,3,1)&amp;LEFT($BI$383,1))</f>
        <v>2010 Q2</v>
      </c>
      <c r="BJ384" t="str">
        <f>IF(LEN($BJ$383)&lt;&gt;8,$BJ$383,RIGHT($BJ$383,4)&amp;" "&amp;MID($BJ$383,3,1)&amp;LEFT($BJ$383,1))</f>
        <v>2010 Q1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>
      <c r="A385" t="str">
        <f>"BDH dynamic header0"</f>
        <v>BDH dynamic header0</v>
      </c>
      <c r="B385">
        <f ca="1">IF(OR(ISERROR($C$385),ISBLANK($C$385),ISNUMBER(SEARCH("N/A",$C$385) ),ISERROR($C$386),ISBLANK($C$386)),0,1)</f>
        <v>0</v>
      </c>
      <c r="C385" t="e">
        <f ca="1">_xll.BDH($B$187,$C$187,$B$183,$B$184,"PER=CQ","Dts=S","DtFmt=FI", "rows=2","Dir=H","Points=60","Sort=R","Days=A","Fill=B","FX=USD" )</f>
        <v>#NAME?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>
      <c r="A386" t="str">
        <f>"BDH dynamic result0"</f>
        <v>BDH dynamic result0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>
      <c r="A387" t="str">
        <f>"BDH dynamic header1"</f>
        <v>BDH dynamic header1</v>
      </c>
      <c r="B387">
        <f ca="1">IF(OR(ISERROR($C$387),ISBLANK($C$387),ISNUMBER(SEARCH("N/A",$C$387) ),ISERROR($C$388),ISBLANK($C$388)),0,1)</f>
        <v>0</v>
      </c>
      <c r="C387" t="e">
        <f ca="1">_xll.BDH($B$188,$C$188,$B$183,$B$184,"PER=CQ","Dts=S","DtFmt=FI", "rows=2","Dir=H","Points=60","Sort=R","Days=A","Fill=B","FX=USD" )</f>
        <v>#NAME?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>
      <c r="A388" t="str">
        <f>"BDH dynamic result1"</f>
        <v>BDH dynamic result1</v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>
      <c r="A389" t="str">
        <f>"BDH dynamic header2"</f>
        <v>BDH dynamic header2</v>
      </c>
      <c r="B389">
        <f ca="1">IF(OR(ISERROR($C$389),ISBLANK($C$389),ISNUMBER(SEARCH("N/A",$C$389) ),ISERROR($C$390),ISBLANK($C$390)),0,1)</f>
        <v>0</v>
      </c>
      <c r="C389" t="e">
        <f ca="1">_xll.BDH($B$189,$C$189,$B$183,$B$184,"PER=CQ","Dts=S","DtFmt=FI", "rows=2","Dir=H","Points=60","Sort=R","Days=A","Fill=B","FX=USD" )</f>
        <v>#NAME?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>
      <c r="A390" t="str">
        <f>"BDH dynamic result2"</f>
        <v>BDH dynamic result2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>
      <c r="A391" t="str">
        <f>"BDH dynamic"</f>
        <v>BDH dynamic</v>
      </c>
      <c r="B391">
        <f ca="1">IF($B$385&gt;=1,$B$385,IF($B$387&gt;=1,$B$387,IF($B$389&gt;=1,$B$389,$B$376)))</f>
        <v>2</v>
      </c>
      <c r="C391" t="str">
        <f ca="1">IF($B$385&gt;=1,$C$385,IF($B$387&gt;=1,$C$387,IF($B$389&gt;=1,$C$389,$C$376)))</f>
        <v>2024 Q4</v>
      </c>
      <c r="D391" t="str">
        <f ca="1">IF($B$385&gt;=1,$D$385,IF($B$387&gt;=1,$D$387,IF($B$389&gt;=1,$D$389,$D$376)))</f>
        <v>2024 Q3</v>
      </c>
      <c r="E391" t="str">
        <f ca="1">IF($B$385&gt;=1,$E$385,IF($B$387&gt;=1,$E$387,IF($B$389&gt;=1,$E$389,$E$376)))</f>
        <v>2024 Q2</v>
      </c>
      <c r="F391" t="str">
        <f ca="1">IF($B$385&gt;=1,$F$385,IF($B$387&gt;=1,$F$387,IF($B$389&gt;=1,$F$389,$F$376)))</f>
        <v>2024 Q1</v>
      </c>
      <c r="G391" t="str">
        <f ca="1">IF($B$385&gt;=1,$G$385,IF($B$387&gt;=1,$G$387,IF($B$389&gt;=1,$G$389,$G$376)))</f>
        <v>2023 Q4</v>
      </c>
      <c r="H391" t="str">
        <f ca="1">IF($B$385&gt;=1,$H$385,IF($B$387&gt;=1,$H$387,IF($B$389&gt;=1,$H$389,$H$376)))</f>
        <v>2023 Q3</v>
      </c>
      <c r="I391" t="str">
        <f ca="1">IF($B$385&gt;=1,$I$385,IF($B$387&gt;=1,$I$387,IF($B$389&gt;=1,$I$389,$I$376)))</f>
        <v>2023 Q2</v>
      </c>
      <c r="J391" t="str">
        <f ca="1">IF($B$385&gt;=1,$J$385,IF($B$387&gt;=1,$J$387,IF($B$389&gt;=1,$J$389,$J$376)))</f>
        <v>2023 Q1</v>
      </c>
      <c r="K391" t="str">
        <f ca="1">IF($B$385&gt;=1,$K$385,IF($B$387&gt;=1,$K$387,IF($B$389&gt;=1,$K$389,$K$376)))</f>
        <v>2022 Q4</v>
      </c>
      <c r="L391" t="str">
        <f ca="1">IF($B$385&gt;=1,$L$385,IF($B$387&gt;=1,$L$387,IF($B$389&gt;=1,$L$389,$L$376)))</f>
        <v>2022 Q3</v>
      </c>
      <c r="M391" t="str">
        <f ca="1">IF($B$385&gt;=1,$M$385,IF($B$387&gt;=1,$M$387,IF($B$389&gt;=1,$M$389,$M$376)))</f>
        <v>2022 Q2</v>
      </c>
      <c r="N391" t="str">
        <f ca="1">IF($B$385&gt;=1,$N$385,IF($B$387&gt;=1,$N$387,IF($B$389&gt;=1,$N$389,$N$376)))</f>
        <v>2022 Q1</v>
      </c>
      <c r="O391" t="str">
        <f ca="1">IF($B$385&gt;=1,$O$385,IF($B$387&gt;=1,$O$387,IF($B$389&gt;=1,$O$389,$O$376)))</f>
        <v>2021 Q4</v>
      </c>
      <c r="P391" t="str">
        <f ca="1">IF($B$385&gt;=1,$P$385,IF($B$387&gt;=1,$P$387,IF($B$389&gt;=1,$P$389,$P$376)))</f>
        <v>2021 Q3</v>
      </c>
      <c r="Q391" t="str">
        <f ca="1">IF($B$385&gt;=1,$Q$385,IF($B$387&gt;=1,$Q$387,IF($B$389&gt;=1,$Q$389,$Q$376)))</f>
        <v>2021 Q2</v>
      </c>
      <c r="R391" t="str">
        <f ca="1">IF($B$385&gt;=1,$R$385,IF($B$387&gt;=1,$R$387,IF($B$389&gt;=1,$R$389,$R$376)))</f>
        <v>2021 Q1</v>
      </c>
      <c r="S391" t="str">
        <f ca="1">IF($B$385&gt;=1,$S$385,IF($B$387&gt;=1,$S$387,IF($B$389&gt;=1,$S$389,$S$376)))</f>
        <v>2020 Q4</v>
      </c>
      <c r="T391" t="str">
        <f ca="1">IF($B$385&gt;=1,$T$385,IF($B$387&gt;=1,$T$387,IF($B$389&gt;=1,$T$389,$T$376)))</f>
        <v>2020 Q3</v>
      </c>
      <c r="U391" t="str">
        <f ca="1">IF($B$385&gt;=1,$U$385,IF($B$387&gt;=1,$U$387,IF($B$389&gt;=1,$U$389,$U$376)))</f>
        <v>2020 Q2</v>
      </c>
      <c r="V391" t="str">
        <f ca="1">IF($B$385&gt;=1,$V$385,IF($B$387&gt;=1,$V$387,IF($B$389&gt;=1,$V$389,$V$376)))</f>
        <v>2020 Q1</v>
      </c>
      <c r="W391" t="str">
        <f ca="1">IF($B$385&gt;=1,$W$385,IF($B$387&gt;=1,$W$387,IF($B$389&gt;=1,$W$389,$W$376)))</f>
        <v>2019 Q4</v>
      </c>
      <c r="X391" t="str">
        <f ca="1">IF($B$385&gt;=1,$X$385,IF($B$387&gt;=1,$X$387,IF($B$389&gt;=1,$X$389,$X$376)))</f>
        <v>2019 Q3</v>
      </c>
      <c r="Y391" t="str">
        <f ca="1">IF($B$385&gt;=1,$Y$385,IF($B$387&gt;=1,$Y$387,IF($B$389&gt;=1,$Y$389,$Y$376)))</f>
        <v>2019 Q2</v>
      </c>
      <c r="Z391" t="str">
        <f ca="1">IF($B$385&gt;=1,$Z$385,IF($B$387&gt;=1,$Z$387,IF($B$389&gt;=1,$Z$389,$Z$376)))</f>
        <v>2019 Q1</v>
      </c>
      <c r="AA391" t="str">
        <f ca="1">IF($B$385&gt;=1,$AA$385,IF($B$387&gt;=1,$AA$387,IF($B$389&gt;=1,$AA$389,$AA$376)))</f>
        <v>2018 Q4</v>
      </c>
      <c r="AB391" t="str">
        <f ca="1">IF($B$385&gt;=1,$AB$385,IF($B$387&gt;=1,$AB$387,IF($B$389&gt;=1,$AB$389,$AB$376)))</f>
        <v>2018 Q3</v>
      </c>
      <c r="AC391" t="str">
        <f ca="1">IF($B$385&gt;=1,$AC$385,IF($B$387&gt;=1,$AC$387,IF($B$389&gt;=1,$AC$389,$AC$376)))</f>
        <v>2018 Q2</v>
      </c>
      <c r="AD391" t="str">
        <f ca="1">IF($B$385&gt;=1,$AD$385,IF($B$387&gt;=1,$AD$387,IF($B$389&gt;=1,$AD$389,$AD$376)))</f>
        <v>2018 Q1</v>
      </c>
      <c r="AE391" t="str">
        <f ca="1">IF($B$385&gt;=1,$AE$385,IF($B$387&gt;=1,$AE$387,IF($B$389&gt;=1,$AE$389,$AE$376)))</f>
        <v>2017 Q4</v>
      </c>
      <c r="AF391" t="str">
        <f ca="1">IF($B$385&gt;=1,$AF$385,IF($B$387&gt;=1,$AF$387,IF($B$389&gt;=1,$AF$389,$AF$376)))</f>
        <v>2017 Q3</v>
      </c>
      <c r="AG391" t="str">
        <f ca="1">IF($B$385&gt;=1,$AG$385,IF($B$387&gt;=1,$AG$387,IF($B$389&gt;=1,$AG$389,$AG$376)))</f>
        <v>2017 Q2</v>
      </c>
      <c r="AH391" t="str">
        <f ca="1">IF($B$385&gt;=1,$AH$385,IF($B$387&gt;=1,$AH$387,IF($B$389&gt;=1,$AH$389,$AH$376)))</f>
        <v>2017 Q1</v>
      </c>
      <c r="AI391" t="str">
        <f ca="1">IF($B$385&gt;=1,$AI$385,IF($B$387&gt;=1,$AI$387,IF($B$389&gt;=1,$AI$389,$AI$376)))</f>
        <v>2016 Q4</v>
      </c>
      <c r="AJ391" t="str">
        <f ca="1">IF($B$385&gt;=1,$AJ$385,IF($B$387&gt;=1,$AJ$387,IF($B$389&gt;=1,$AJ$389,$AJ$376)))</f>
        <v>2016 Q3</v>
      </c>
      <c r="AK391" t="str">
        <f ca="1">IF($B$385&gt;=1,$AK$385,IF($B$387&gt;=1,$AK$387,IF($B$389&gt;=1,$AK$389,$AK$376)))</f>
        <v>2016 Q2</v>
      </c>
      <c r="AL391" t="str">
        <f ca="1">IF($B$385&gt;=1,$AL$385,IF($B$387&gt;=1,$AL$387,IF($B$389&gt;=1,$AL$389,$AL$376)))</f>
        <v>2016 Q1</v>
      </c>
      <c r="AM391" t="str">
        <f ca="1">IF($B$385&gt;=1,$AM$385,IF($B$387&gt;=1,$AM$387,IF($B$389&gt;=1,$AM$389,$AM$376)))</f>
        <v>2015 Q4</v>
      </c>
      <c r="AN391" t="str">
        <f ca="1">IF($B$385&gt;=1,$AN$385,IF($B$387&gt;=1,$AN$387,IF($B$389&gt;=1,$AN$389,$AN$376)))</f>
        <v>2015 Q3</v>
      </c>
      <c r="AO391" t="str">
        <f ca="1">IF($B$385&gt;=1,$AO$385,IF($B$387&gt;=1,$AO$387,IF($B$389&gt;=1,$AO$389,$AO$376)))</f>
        <v>2015 Q2</v>
      </c>
      <c r="AP391" t="str">
        <f ca="1">IF($B$385&gt;=1,$AP$385,IF($B$387&gt;=1,$AP$387,IF($B$389&gt;=1,$AP$389,$AP$376)))</f>
        <v>2015 Q1</v>
      </c>
      <c r="AQ391" t="str">
        <f ca="1">IF($B$385&gt;=1,$AQ$385,IF($B$387&gt;=1,$AQ$387,IF($B$389&gt;=1,$AQ$389,$AQ$376)))</f>
        <v>2014 Q4</v>
      </c>
      <c r="AR391" t="str">
        <f ca="1">IF($B$385&gt;=1,$AR$385,IF($B$387&gt;=1,$AR$387,IF($B$389&gt;=1,$AR$389,$AR$376)))</f>
        <v>2014 Q3</v>
      </c>
      <c r="AS391" t="str">
        <f ca="1">IF($B$385&gt;=1,$AS$385,IF($B$387&gt;=1,$AS$387,IF($B$389&gt;=1,$AS$389,$AS$376)))</f>
        <v>2014 Q2</v>
      </c>
      <c r="AT391" t="str">
        <f ca="1">IF($B$385&gt;=1,$AT$385,IF($B$387&gt;=1,$AT$387,IF($B$389&gt;=1,$AT$389,$AT$376)))</f>
        <v>2014 Q1</v>
      </c>
      <c r="AU391" t="str">
        <f ca="1">IF($B$385&gt;=1,$AU$385,IF($B$387&gt;=1,$AU$387,IF($B$389&gt;=1,$AU$389,$AU$376)))</f>
        <v>2013 Q4</v>
      </c>
      <c r="AV391" t="str">
        <f ca="1">IF($B$385&gt;=1,$AV$385,IF($B$387&gt;=1,$AV$387,IF($B$389&gt;=1,$AV$389,$AV$376)))</f>
        <v>2013 Q3</v>
      </c>
      <c r="AW391" t="str">
        <f ca="1">IF($B$385&gt;=1,$AW$385,IF($B$387&gt;=1,$AW$387,IF($B$389&gt;=1,$AW$389,$AW$376)))</f>
        <v>2013 Q2</v>
      </c>
      <c r="AX391" t="str">
        <f ca="1">IF($B$385&gt;=1,$AX$385,IF($B$387&gt;=1,$AX$387,IF($B$389&gt;=1,$AX$389,$AX$376)))</f>
        <v>2013 Q1</v>
      </c>
      <c r="AY391" t="str">
        <f ca="1">IF($B$385&gt;=1,$AY$385,IF($B$387&gt;=1,$AY$387,IF($B$389&gt;=1,$AY$389,$AY$376)))</f>
        <v>2012 Q4</v>
      </c>
      <c r="AZ391" t="str">
        <f ca="1">IF($B$385&gt;=1,$AZ$385,IF($B$387&gt;=1,$AZ$387,IF($B$389&gt;=1,$AZ$389,$AZ$376)))</f>
        <v>2012 Q3</v>
      </c>
      <c r="BA391" t="str">
        <f ca="1">IF($B$385&gt;=1,$BA$385,IF($B$387&gt;=1,$BA$387,IF($B$389&gt;=1,$BA$389,$BA$376)))</f>
        <v>2012 Q2</v>
      </c>
      <c r="BB391" t="str">
        <f ca="1">IF($B$385&gt;=1,$BB$385,IF($B$387&gt;=1,$BB$387,IF($B$389&gt;=1,$BB$389,$BB$376)))</f>
        <v>2012 Q1</v>
      </c>
      <c r="BC391" t="str">
        <f ca="1">IF($B$385&gt;=1,$BC$385,IF($B$387&gt;=1,$BC$387,IF($B$389&gt;=1,$BC$389,$BC$376)))</f>
        <v>2011 Q4</v>
      </c>
      <c r="BD391" t="str">
        <f ca="1">IF($B$385&gt;=1,$BD$385,IF($B$387&gt;=1,$BD$387,IF($B$389&gt;=1,$BD$389,$BD$376)))</f>
        <v>2011 Q3</v>
      </c>
      <c r="BE391" t="str">
        <f ca="1">IF($B$385&gt;=1,$BE$385,IF($B$387&gt;=1,$BE$387,IF($B$389&gt;=1,$BE$389,$BE$376)))</f>
        <v>2011 Q2</v>
      </c>
      <c r="BF391" t="str">
        <f ca="1">IF($B$385&gt;=1,$BF$385,IF($B$387&gt;=1,$BF$387,IF($B$389&gt;=1,$BF$389,$BF$376)))</f>
        <v>2011 Q1</v>
      </c>
      <c r="BG391" t="str">
        <f ca="1">IF($B$385&gt;=1,$BG$385,IF($B$387&gt;=1,$BG$387,IF($B$389&gt;=1,$BG$389,$BG$376)))</f>
        <v>2010 Q4</v>
      </c>
      <c r="BH391" t="str">
        <f ca="1">IF($B$385&gt;=1,$BH$385,IF($B$387&gt;=1,$BH$387,IF($B$389&gt;=1,$BH$389,$BH$376)))</f>
        <v>2010 Q3</v>
      </c>
      <c r="BI391" t="str">
        <f ca="1">IF($B$385&gt;=1,$BI$385,IF($B$387&gt;=1,$BI$387,IF($B$389&gt;=1,$BI$389,$BI$376)))</f>
        <v>2010 Q2</v>
      </c>
      <c r="BJ391" t="str">
        <f ca="1">IF($B$385&gt;=1,$BJ$385,IF($B$387&gt;=1,$BJ$387,IF($B$389&gt;=1,$BJ$389,$BJ$376)))</f>
        <v>2010 Q1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>
      <c r="A392" t="str">
        <f>"BDH dynamic title"</f>
        <v>BDH dynamic title</v>
      </c>
      <c r="B392">
        <f ca="1">$B$391</f>
        <v>2</v>
      </c>
      <c r="C392" t="str">
        <f ca="1">IF(LEN($C$391)&lt;&gt;8,$C$391,RIGHT($C$391,4)&amp;" "&amp;MID($C$391,3,1)&amp;LEFT($C$391,1))</f>
        <v>2024 Q4</v>
      </c>
      <c r="D392" t="str">
        <f ca="1">IF(LEN($D$391)&lt;&gt;8,$D$391,RIGHT($D$391,4)&amp;" "&amp;MID($D$391,3,1)&amp;LEFT($D$391,1))</f>
        <v>2024 Q3</v>
      </c>
      <c r="E392" t="str">
        <f ca="1">IF(LEN($E$391)&lt;&gt;8,$E$391,RIGHT($E$391,4)&amp;" "&amp;MID($E$391,3,1)&amp;LEFT($E$391,1))</f>
        <v>2024 Q2</v>
      </c>
      <c r="F392" t="str">
        <f ca="1">IF(LEN($F$391)&lt;&gt;8,$F$391,RIGHT($F$391,4)&amp;" "&amp;MID($F$391,3,1)&amp;LEFT($F$391,1))</f>
        <v>2024 Q1</v>
      </c>
      <c r="G392" t="str">
        <f ca="1">IF(LEN($G$391)&lt;&gt;8,$G$391,RIGHT($G$391,4)&amp;" "&amp;MID($G$391,3,1)&amp;LEFT($G$391,1))</f>
        <v>2023 Q4</v>
      </c>
      <c r="H392" t="str">
        <f ca="1">IF(LEN($H$391)&lt;&gt;8,$H$391,RIGHT($H$391,4)&amp;" "&amp;MID($H$391,3,1)&amp;LEFT($H$391,1))</f>
        <v>2023 Q3</v>
      </c>
      <c r="I392" t="str">
        <f ca="1">IF(LEN($I$391)&lt;&gt;8,$I$391,RIGHT($I$391,4)&amp;" "&amp;MID($I$391,3,1)&amp;LEFT($I$391,1))</f>
        <v>2023 Q2</v>
      </c>
      <c r="J392" t="str">
        <f ca="1">IF(LEN($J$391)&lt;&gt;8,$J$391,RIGHT($J$391,4)&amp;" "&amp;MID($J$391,3,1)&amp;LEFT($J$391,1))</f>
        <v>2023 Q1</v>
      </c>
      <c r="K392" t="str">
        <f ca="1">IF(LEN($K$391)&lt;&gt;8,$K$391,RIGHT($K$391,4)&amp;" "&amp;MID($K$391,3,1)&amp;LEFT($K$391,1))</f>
        <v>2022 Q4</v>
      </c>
      <c r="L392" t="str">
        <f ca="1">IF(LEN($L$391)&lt;&gt;8,$L$391,RIGHT($L$391,4)&amp;" "&amp;MID($L$391,3,1)&amp;LEFT($L$391,1))</f>
        <v>2022 Q3</v>
      </c>
      <c r="M392" t="str">
        <f ca="1">IF(LEN($M$391)&lt;&gt;8,$M$391,RIGHT($M$391,4)&amp;" "&amp;MID($M$391,3,1)&amp;LEFT($M$391,1))</f>
        <v>2022 Q2</v>
      </c>
      <c r="N392" t="str">
        <f ca="1">IF(LEN($N$391)&lt;&gt;8,$N$391,RIGHT($N$391,4)&amp;" "&amp;MID($N$391,3,1)&amp;LEFT($N$391,1))</f>
        <v>2022 Q1</v>
      </c>
      <c r="O392" t="str">
        <f ca="1">IF(LEN($O$391)&lt;&gt;8,$O$391,RIGHT($O$391,4)&amp;" "&amp;MID($O$391,3,1)&amp;LEFT($O$391,1))</f>
        <v>2021 Q4</v>
      </c>
      <c r="P392" t="str">
        <f ca="1">IF(LEN($P$391)&lt;&gt;8,$P$391,RIGHT($P$391,4)&amp;" "&amp;MID($P$391,3,1)&amp;LEFT($P$391,1))</f>
        <v>2021 Q3</v>
      </c>
      <c r="Q392" t="str">
        <f ca="1">IF(LEN($Q$391)&lt;&gt;8,$Q$391,RIGHT($Q$391,4)&amp;" "&amp;MID($Q$391,3,1)&amp;LEFT($Q$391,1))</f>
        <v>2021 Q2</v>
      </c>
      <c r="R392" t="str">
        <f ca="1">IF(LEN($R$391)&lt;&gt;8,$R$391,RIGHT($R$391,4)&amp;" "&amp;MID($R$391,3,1)&amp;LEFT($R$391,1))</f>
        <v>2021 Q1</v>
      </c>
      <c r="S392" t="str">
        <f ca="1">IF(LEN($S$391)&lt;&gt;8,$S$391,RIGHT($S$391,4)&amp;" "&amp;MID($S$391,3,1)&amp;LEFT($S$391,1))</f>
        <v>2020 Q4</v>
      </c>
      <c r="T392" t="str">
        <f ca="1">IF(LEN($T$391)&lt;&gt;8,$T$391,RIGHT($T$391,4)&amp;" "&amp;MID($T$391,3,1)&amp;LEFT($T$391,1))</f>
        <v>2020 Q3</v>
      </c>
      <c r="U392" t="str">
        <f ca="1">IF(LEN($U$391)&lt;&gt;8,$U$391,RIGHT($U$391,4)&amp;" "&amp;MID($U$391,3,1)&amp;LEFT($U$391,1))</f>
        <v>2020 Q2</v>
      </c>
      <c r="V392" t="str">
        <f ca="1">IF(LEN($V$391)&lt;&gt;8,$V$391,RIGHT($V$391,4)&amp;" "&amp;MID($V$391,3,1)&amp;LEFT($V$391,1))</f>
        <v>2020 Q1</v>
      </c>
      <c r="W392" t="str">
        <f ca="1">IF(LEN($W$391)&lt;&gt;8,$W$391,RIGHT($W$391,4)&amp;" "&amp;MID($W$391,3,1)&amp;LEFT($W$391,1))</f>
        <v>2019 Q4</v>
      </c>
      <c r="X392" t="str">
        <f ca="1">IF(LEN($X$391)&lt;&gt;8,$X$391,RIGHT($X$391,4)&amp;" "&amp;MID($X$391,3,1)&amp;LEFT($X$391,1))</f>
        <v>2019 Q3</v>
      </c>
      <c r="Y392" t="str">
        <f ca="1">IF(LEN($Y$391)&lt;&gt;8,$Y$391,RIGHT($Y$391,4)&amp;" "&amp;MID($Y$391,3,1)&amp;LEFT($Y$391,1))</f>
        <v>2019 Q2</v>
      </c>
      <c r="Z392" t="str">
        <f ca="1">IF(LEN($Z$391)&lt;&gt;8,$Z$391,RIGHT($Z$391,4)&amp;" "&amp;MID($Z$391,3,1)&amp;LEFT($Z$391,1))</f>
        <v>2019 Q1</v>
      </c>
      <c r="AA392" t="str">
        <f ca="1">IF(LEN($AA$391)&lt;&gt;8,$AA$391,RIGHT($AA$391,4)&amp;" "&amp;MID($AA$391,3,1)&amp;LEFT($AA$391,1))</f>
        <v>2018 Q4</v>
      </c>
      <c r="AB392" t="str">
        <f ca="1">IF(LEN($AB$391)&lt;&gt;8,$AB$391,RIGHT($AB$391,4)&amp;" "&amp;MID($AB$391,3,1)&amp;LEFT($AB$391,1))</f>
        <v>2018 Q3</v>
      </c>
      <c r="AC392" t="str">
        <f ca="1">IF(LEN($AC$391)&lt;&gt;8,$AC$391,RIGHT($AC$391,4)&amp;" "&amp;MID($AC$391,3,1)&amp;LEFT($AC$391,1))</f>
        <v>2018 Q2</v>
      </c>
      <c r="AD392" t="str">
        <f ca="1">IF(LEN($AD$391)&lt;&gt;8,$AD$391,RIGHT($AD$391,4)&amp;" "&amp;MID($AD$391,3,1)&amp;LEFT($AD$391,1))</f>
        <v>2018 Q1</v>
      </c>
      <c r="AE392" t="str">
        <f ca="1">IF(LEN($AE$391)&lt;&gt;8,$AE$391,RIGHT($AE$391,4)&amp;" "&amp;MID($AE$391,3,1)&amp;LEFT($AE$391,1))</f>
        <v>2017 Q4</v>
      </c>
      <c r="AF392" t="str">
        <f ca="1">IF(LEN($AF$391)&lt;&gt;8,$AF$391,RIGHT($AF$391,4)&amp;" "&amp;MID($AF$391,3,1)&amp;LEFT($AF$391,1))</f>
        <v>2017 Q3</v>
      </c>
      <c r="AG392" t="str">
        <f ca="1">IF(LEN($AG$391)&lt;&gt;8,$AG$391,RIGHT($AG$391,4)&amp;" "&amp;MID($AG$391,3,1)&amp;LEFT($AG$391,1))</f>
        <v>2017 Q2</v>
      </c>
      <c r="AH392" t="str">
        <f ca="1">IF(LEN($AH$391)&lt;&gt;8,$AH$391,RIGHT($AH$391,4)&amp;" "&amp;MID($AH$391,3,1)&amp;LEFT($AH$391,1))</f>
        <v>2017 Q1</v>
      </c>
      <c r="AI392" t="str">
        <f ca="1">IF(LEN($AI$391)&lt;&gt;8,$AI$391,RIGHT($AI$391,4)&amp;" "&amp;MID($AI$391,3,1)&amp;LEFT($AI$391,1))</f>
        <v>2016 Q4</v>
      </c>
      <c r="AJ392" t="str">
        <f ca="1">IF(LEN($AJ$391)&lt;&gt;8,$AJ$391,RIGHT($AJ$391,4)&amp;" "&amp;MID($AJ$391,3,1)&amp;LEFT($AJ$391,1))</f>
        <v>2016 Q3</v>
      </c>
      <c r="AK392" t="str">
        <f ca="1">IF(LEN($AK$391)&lt;&gt;8,$AK$391,RIGHT($AK$391,4)&amp;" "&amp;MID($AK$391,3,1)&amp;LEFT($AK$391,1))</f>
        <v>2016 Q2</v>
      </c>
      <c r="AL392" t="str">
        <f ca="1">IF(LEN($AL$391)&lt;&gt;8,$AL$391,RIGHT($AL$391,4)&amp;" "&amp;MID($AL$391,3,1)&amp;LEFT($AL$391,1))</f>
        <v>2016 Q1</v>
      </c>
      <c r="AM392" t="str">
        <f ca="1">IF(LEN($AM$391)&lt;&gt;8,$AM$391,RIGHT($AM$391,4)&amp;" "&amp;MID($AM$391,3,1)&amp;LEFT($AM$391,1))</f>
        <v>2015 Q4</v>
      </c>
      <c r="AN392" t="str">
        <f ca="1">IF(LEN($AN$391)&lt;&gt;8,$AN$391,RIGHT($AN$391,4)&amp;" "&amp;MID($AN$391,3,1)&amp;LEFT($AN$391,1))</f>
        <v>2015 Q3</v>
      </c>
      <c r="AO392" t="str">
        <f ca="1">IF(LEN($AO$391)&lt;&gt;8,$AO$391,RIGHT($AO$391,4)&amp;" "&amp;MID($AO$391,3,1)&amp;LEFT($AO$391,1))</f>
        <v>2015 Q2</v>
      </c>
      <c r="AP392" t="str">
        <f ca="1">IF(LEN($AP$391)&lt;&gt;8,$AP$391,RIGHT($AP$391,4)&amp;" "&amp;MID($AP$391,3,1)&amp;LEFT($AP$391,1))</f>
        <v>2015 Q1</v>
      </c>
      <c r="AQ392" t="str">
        <f ca="1">IF(LEN($AQ$391)&lt;&gt;8,$AQ$391,RIGHT($AQ$391,4)&amp;" "&amp;MID($AQ$391,3,1)&amp;LEFT($AQ$391,1))</f>
        <v>2014 Q4</v>
      </c>
      <c r="AR392" t="str">
        <f ca="1">IF(LEN($AR$391)&lt;&gt;8,$AR$391,RIGHT($AR$391,4)&amp;" "&amp;MID($AR$391,3,1)&amp;LEFT($AR$391,1))</f>
        <v>2014 Q3</v>
      </c>
      <c r="AS392" t="str">
        <f ca="1">IF(LEN($AS$391)&lt;&gt;8,$AS$391,RIGHT($AS$391,4)&amp;" "&amp;MID($AS$391,3,1)&amp;LEFT($AS$391,1))</f>
        <v>2014 Q2</v>
      </c>
      <c r="AT392" t="str">
        <f ca="1">IF(LEN($AT$391)&lt;&gt;8,$AT$391,RIGHT($AT$391,4)&amp;" "&amp;MID($AT$391,3,1)&amp;LEFT($AT$391,1))</f>
        <v>2014 Q1</v>
      </c>
      <c r="AU392" t="str">
        <f ca="1">IF(LEN($AU$391)&lt;&gt;8,$AU$391,RIGHT($AU$391,4)&amp;" "&amp;MID($AU$391,3,1)&amp;LEFT($AU$391,1))</f>
        <v>2013 Q4</v>
      </c>
      <c r="AV392" t="str">
        <f ca="1">IF(LEN($AV$391)&lt;&gt;8,$AV$391,RIGHT($AV$391,4)&amp;" "&amp;MID($AV$391,3,1)&amp;LEFT($AV$391,1))</f>
        <v>2013 Q3</v>
      </c>
      <c r="AW392" t="str">
        <f ca="1">IF(LEN($AW$391)&lt;&gt;8,$AW$391,RIGHT($AW$391,4)&amp;" "&amp;MID($AW$391,3,1)&amp;LEFT($AW$391,1))</f>
        <v>2013 Q2</v>
      </c>
      <c r="AX392" t="str">
        <f ca="1">IF(LEN($AX$391)&lt;&gt;8,$AX$391,RIGHT($AX$391,4)&amp;" "&amp;MID($AX$391,3,1)&amp;LEFT($AX$391,1))</f>
        <v>2013 Q1</v>
      </c>
      <c r="AY392" t="str">
        <f ca="1">IF(LEN($AY$391)&lt;&gt;8,$AY$391,RIGHT($AY$391,4)&amp;" "&amp;MID($AY$391,3,1)&amp;LEFT($AY$391,1))</f>
        <v>2012 Q4</v>
      </c>
      <c r="AZ392" t="str">
        <f ca="1">IF(LEN($AZ$391)&lt;&gt;8,$AZ$391,RIGHT($AZ$391,4)&amp;" "&amp;MID($AZ$391,3,1)&amp;LEFT($AZ$391,1))</f>
        <v>2012 Q3</v>
      </c>
      <c r="BA392" t="str">
        <f ca="1">IF(LEN($BA$391)&lt;&gt;8,$BA$391,RIGHT($BA$391,4)&amp;" "&amp;MID($BA$391,3,1)&amp;LEFT($BA$391,1))</f>
        <v>2012 Q2</v>
      </c>
      <c r="BB392" t="str">
        <f ca="1">IF(LEN($BB$391)&lt;&gt;8,$BB$391,RIGHT($BB$391,4)&amp;" "&amp;MID($BB$391,3,1)&amp;LEFT($BB$391,1))</f>
        <v>2012 Q1</v>
      </c>
      <c r="BC392" t="str">
        <f ca="1">IF(LEN($BC$391)&lt;&gt;8,$BC$391,RIGHT($BC$391,4)&amp;" "&amp;MID($BC$391,3,1)&amp;LEFT($BC$391,1))</f>
        <v>2011 Q4</v>
      </c>
      <c r="BD392" t="str">
        <f ca="1">IF(LEN($BD$391)&lt;&gt;8,$BD$391,RIGHT($BD$391,4)&amp;" "&amp;MID($BD$391,3,1)&amp;LEFT($BD$391,1))</f>
        <v>2011 Q3</v>
      </c>
      <c r="BE392" t="str">
        <f ca="1">IF(LEN($BE$391)&lt;&gt;8,$BE$391,RIGHT($BE$391,4)&amp;" "&amp;MID($BE$391,3,1)&amp;LEFT($BE$391,1))</f>
        <v>2011 Q2</v>
      </c>
      <c r="BF392" t="str">
        <f ca="1">IF(LEN($BF$391)&lt;&gt;8,$BF$391,RIGHT($BF$391,4)&amp;" "&amp;MID($BF$391,3,1)&amp;LEFT($BF$391,1))</f>
        <v>2011 Q1</v>
      </c>
      <c r="BG392" t="str">
        <f ca="1">IF(LEN($BG$391)&lt;&gt;8,$BG$391,RIGHT($BG$391,4)&amp;" "&amp;MID($BG$391,3,1)&amp;LEFT($BG$391,1))</f>
        <v>2010 Q4</v>
      </c>
      <c r="BH392" t="str">
        <f ca="1">IF(LEN($BH$391)&lt;&gt;8,$BH$391,RIGHT($BH$391,4)&amp;" "&amp;MID($BH$391,3,1)&amp;LEFT($BH$391,1))</f>
        <v>2010 Q3</v>
      </c>
      <c r="BI392" t="str">
        <f ca="1">IF(LEN($BI$391)&lt;&gt;8,$BI$391,RIGHT($BI$391,4)&amp;" "&amp;MID($BI$391,3,1)&amp;LEFT($BI$391,1))</f>
        <v>2010 Q2</v>
      </c>
      <c r="BJ392" t="str">
        <f ca="1">IF(LEN($BJ$391)&lt;&gt;8,$BJ$391,RIGHT($BJ$391,4)&amp;" "&amp;MID($BJ$391,3,1)&amp;LEFT($BJ$391,1))</f>
        <v>2010 Q1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>
      <c r="A393" t="str">
        <f>"No error found"</f>
        <v>No error found</v>
      </c>
      <c r="B393" t="str">
        <f>""</f>
        <v/>
      </c>
      <c r="C393" t="str">
        <f>""</f>
        <v/>
      </c>
      <c r="D393" t="str">
        <f>""</f>
        <v/>
      </c>
      <c r="E393" t="str">
        <f>""</f>
        <v/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/>
  <cols>
    <col min="1" max="1" width="9.140625" bestFit="1" customWidth="1"/>
  </cols>
  <sheetData>
    <row r="1" spans="1:1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20" spans="1:1">
      <c r="A20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</v>
      </c>
    </row>
    <row r="32" spans="1:1">
      <c r="A32" t="s">
        <v>26</v>
      </c>
    </row>
    <row r="33" spans="1:1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Lev Rozanov</cp:lastModifiedBy>
  <cp:revision/>
  <dcterms:created xsi:type="dcterms:W3CDTF">2013-04-03T15:49:21Z</dcterms:created>
  <dcterms:modified xsi:type="dcterms:W3CDTF">2025-03-27T12:24:27Z</dcterms:modified>
  <cp:category/>
  <cp:contentStatus/>
</cp:coreProperties>
</file>